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9960" activeTab="0"/>
  </bookViews>
  <sheets>
    <sheet name="Anexa 3" sheetId="1" r:id="rId1"/>
  </sheets>
  <definedNames>
    <definedName name="_xlnm.Print_Area" localSheetId="0">'Anexa 3'!$B$1:$N$48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<sst xmlns="http://schemas.openxmlformats.org/spreadsheetml/2006/main" count="49" uniqueCount="25">
  <si>
    <t>acceptate in MDL</t>
  </si>
  <si>
    <t>lunii gestionare</t>
  </si>
  <si>
    <t>- depozitele bancilor</t>
  </si>
  <si>
    <t>Informatia privind depozitele</t>
  </si>
  <si>
    <t>acceptate in valuta straina **</t>
  </si>
  <si>
    <t>depozitele persoanelor juridice*, dintre care:</t>
  </si>
  <si>
    <t xml:space="preserve">acceptate in valuta straina </t>
  </si>
  <si>
    <t>a BC "Moldova-Agroindbank" S.A.</t>
  </si>
  <si>
    <t>la situatia   31.05.2017</t>
  </si>
  <si>
    <t>Depozite la vedere fara dobanda:</t>
  </si>
  <si>
    <t>Depozite la termen fara dobanda:</t>
  </si>
  <si>
    <t>lunii precedente celei gestionare</t>
  </si>
  <si>
    <t>depozitele persoanelor fizice</t>
  </si>
  <si>
    <t>Depozite la termen cu dobanda:</t>
  </si>
  <si>
    <t xml:space="preserve">Portofoliul de depozite, mii lei, sold la sfirsitul </t>
  </si>
  <si>
    <t>Rata medie a dobanzii aferenta soldurilor depozitelor ***, % la sfirsitul</t>
  </si>
  <si>
    <t>A</t>
  </si>
  <si>
    <t>Total depozite:</t>
  </si>
  <si>
    <t>anului precedent celui gestionar</t>
  </si>
  <si>
    <t>Tipul de depozit</t>
  </si>
  <si>
    <t>Depozite la vedere cu dobanda:</t>
  </si>
  <si>
    <t>Anexa 3</t>
  </si>
  <si>
    <t>la Regulamentul cu privire la dezvaluirea</t>
  </si>
  <si>
    <t>de catre bancile din Republica Moldova</t>
  </si>
  <si>
    <t>a informatiei aferente activitatilor lor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</si>
</sst>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5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26" xfId="0" applyNumberFormat="1" applyFont="1" applyFill="1" applyBorder="1" applyAlignment="1" applyProtection="1">
      <alignment/>
      <protection/>
    </xf>
    <xf numFmtId="0" fontId="5" fillId="0" borderId="28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/>
      <protection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Fill="1" applyBorder="1" applyAlignment="1" applyProtection="1">
      <alignment/>
      <protection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left"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33</xdr:row>
      <xdr:rowOff>123825</xdr:rowOff>
    </xdr:from>
    <xdr:to>
      <xdr:col>11</xdr:col>
      <xdr:colOff>561975</xdr:colOff>
      <xdr:row>46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172200"/>
          <a:ext cx="100584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6"/>
  <sheetViews>
    <sheetView tabSelected="1" view="pageBreakPreview" zoomScale="60" zoomScalePageLayoutView="0" workbookViewId="0" topLeftCell="A16">
      <selection activeCell="M56" sqref="M56"/>
    </sheetView>
  </sheetViews>
  <sheetFormatPr defaultColWidth="9.140625" defaultRowHeight="12.75"/>
  <cols>
    <col min="1" max="1" width="3.28125" style="1" customWidth="1"/>
    <col min="2" max="2" width="32.140625" style="1" customWidth="1"/>
    <col min="3" max="4" width="12.8515625" style="1" customWidth="1"/>
    <col min="5" max="6" width="14.140625" style="1" customWidth="1"/>
    <col min="7" max="7" width="16.140625" style="1" customWidth="1"/>
    <col min="8" max="8" width="13.00390625" style="1" customWidth="1"/>
    <col min="9" max="16384" width="9.140625" style="1" customWidth="1"/>
  </cols>
  <sheetData>
    <row r="1" spans="2:17" ht="12.75">
      <c r="B1" s="2"/>
      <c r="C1" s="2"/>
      <c r="D1" s="2"/>
      <c r="G1" s="2"/>
      <c r="I1" s="2"/>
      <c r="K1" s="2"/>
      <c r="L1" s="25"/>
      <c r="M1" s="2"/>
      <c r="N1" s="2"/>
      <c r="Q1" s="2"/>
    </row>
    <row r="2" spans="2:17" ht="12.75">
      <c r="B2" s="2"/>
      <c r="C2" s="2"/>
      <c r="D2" s="2"/>
      <c r="G2" s="2"/>
      <c r="I2" s="2"/>
      <c r="K2" s="2"/>
      <c r="M2" s="24" t="s">
        <v>21</v>
      </c>
      <c r="N2" s="2"/>
      <c r="Q2" s="2"/>
    </row>
    <row r="3" spans="2:17" ht="12.75">
      <c r="B3" s="91" t="s">
        <v>3</v>
      </c>
      <c r="C3" s="91"/>
      <c r="D3" s="91"/>
      <c r="E3" s="91"/>
      <c r="F3" s="91"/>
      <c r="G3" s="91"/>
      <c r="H3" s="91"/>
      <c r="I3" s="91"/>
      <c r="J3" s="91"/>
      <c r="K3" s="76" t="s">
        <v>22</v>
      </c>
      <c r="L3" s="75"/>
      <c r="M3" s="75"/>
      <c r="N3" s="75"/>
      <c r="O3" s="75"/>
      <c r="P3" s="75"/>
      <c r="Q3" s="2"/>
    </row>
    <row r="4" spans="2:17" ht="12.75">
      <c r="B4" s="91" t="s">
        <v>7</v>
      </c>
      <c r="C4" s="91"/>
      <c r="D4" s="91"/>
      <c r="E4" s="91"/>
      <c r="F4" s="91"/>
      <c r="G4" s="91"/>
      <c r="H4" s="91"/>
      <c r="I4" s="91"/>
      <c r="J4" s="91"/>
      <c r="K4" s="76" t="s">
        <v>23</v>
      </c>
      <c r="L4" s="75"/>
      <c r="M4" s="75"/>
      <c r="N4" s="75"/>
      <c r="O4" s="75"/>
      <c r="P4" s="75"/>
      <c r="Q4" s="2"/>
    </row>
    <row r="5" spans="2:17" ht="12.75">
      <c r="B5" s="2"/>
      <c r="K5" s="77" t="s">
        <v>24</v>
      </c>
      <c r="M5" s="75"/>
      <c r="N5" s="75"/>
      <c r="O5" s="75"/>
      <c r="P5" s="75"/>
      <c r="Q5" s="2"/>
    </row>
    <row r="6" spans="2:17" ht="12.75">
      <c r="B6" s="91" t="s">
        <v>8</v>
      </c>
      <c r="C6" s="91"/>
      <c r="D6" s="91"/>
      <c r="E6" s="91"/>
      <c r="F6" s="91"/>
      <c r="G6" s="91"/>
      <c r="H6" s="91"/>
      <c r="I6" s="91"/>
      <c r="J6" s="91"/>
      <c r="K6" s="75"/>
      <c r="L6" s="75"/>
      <c r="M6" s="75"/>
      <c r="N6" s="75"/>
      <c r="Q6" s="2"/>
    </row>
    <row r="7" spans="2:17" ht="12.75">
      <c r="B7" s="43"/>
      <c r="C7" s="43"/>
      <c r="D7" s="43"/>
      <c r="E7" s="43"/>
      <c r="F7" s="43"/>
      <c r="G7" s="43"/>
      <c r="H7" s="43"/>
      <c r="I7" s="43"/>
      <c r="J7" s="43"/>
      <c r="K7" s="75"/>
      <c r="L7" s="75"/>
      <c r="M7" s="75"/>
      <c r="N7" s="75"/>
      <c r="Q7" s="2"/>
    </row>
    <row r="8" spans="2:17" ht="12.75">
      <c r="B8" s="2"/>
      <c r="Q8" s="2"/>
    </row>
    <row r="9" spans="2:17" ht="42.75" customHeight="1">
      <c r="B9" s="82" t="s">
        <v>19</v>
      </c>
      <c r="C9" s="80" t="s">
        <v>14</v>
      </c>
      <c r="D9" s="80"/>
      <c r="E9" s="80"/>
      <c r="F9" s="80"/>
      <c r="G9" s="80"/>
      <c r="H9" s="90"/>
      <c r="I9" s="80" t="s">
        <v>15</v>
      </c>
      <c r="J9" s="80"/>
      <c r="K9" s="80"/>
      <c r="L9" s="80"/>
      <c r="M9" s="80"/>
      <c r="N9" s="80"/>
      <c r="Q9" s="2"/>
    </row>
    <row r="10" spans="2:17" ht="12.75">
      <c r="B10" s="82"/>
      <c r="C10" s="84" t="s">
        <v>1</v>
      </c>
      <c r="D10" s="85"/>
      <c r="E10" s="89" t="s">
        <v>11</v>
      </c>
      <c r="F10" s="89"/>
      <c r="G10" s="86" t="s">
        <v>18</v>
      </c>
      <c r="H10" s="87"/>
      <c r="I10" s="88" t="s">
        <v>1</v>
      </c>
      <c r="J10" s="88"/>
      <c r="K10" s="81" t="s">
        <v>11</v>
      </c>
      <c r="L10" s="81"/>
      <c r="M10" s="78" t="s">
        <v>18</v>
      </c>
      <c r="N10" s="79"/>
      <c r="Q10" s="2"/>
    </row>
    <row r="11" spans="2:17" ht="38.25">
      <c r="B11" s="83"/>
      <c r="C11" s="3" t="s">
        <v>0</v>
      </c>
      <c r="D11" s="4" t="s">
        <v>4</v>
      </c>
      <c r="E11" s="5" t="s">
        <v>0</v>
      </c>
      <c r="F11" s="6" t="s">
        <v>4</v>
      </c>
      <c r="G11" s="5" t="s">
        <v>0</v>
      </c>
      <c r="H11" s="7" t="s">
        <v>4</v>
      </c>
      <c r="I11" s="8" t="s">
        <v>0</v>
      </c>
      <c r="J11" s="9" t="s">
        <v>6</v>
      </c>
      <c r="K11" s="10" t="s">
        <v>0</v>
      </c>
      <c r="L11" s="10" t="s">
        <v>6</v>
      </c>
      <c r="M11" s="11" t="s">
        <v>0</v>
      </c>
      <c r="N11" s="12" t="s">
        <v>6</v>
      </c>
      <c r="Q11" s="2"/>
    </row>
    <row r="12" spans="2:17" ht="12.75">
      <c r="B12" s="13" t="s">
        <v>16</v>
      </c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4">
        <v>6</v>
      </c>
      <c r="I12" s="15">
        <v>7</v>
      </c>
      <c r="J12" s="15">
        <v>8</v>
      </c>
      <c r="K12" s="15">
        <v>9</v>
      </c>
      <c r="L12" s="15">
        <v>10</v>
      </c>
      <c r="M12" s="15">
        <v>11</v>
      </c>
      <c r="N12" s="16">
        <v>12</v>
      </c>
      <c r="Q12" s="2"/>
    </row>
    <row r="13" spans="2:17" ht="12.75">
      <c r="B13" s="17" t="s">
        <v>9</v>
      </c>
      <c r="C13" s="44"/>
      <c r="D13" s="45"/>
      <c r="E13" s="46"/>
      <c r="F13" s="47"/>
      <c r="G13" s="47"/>
      <c r="H13" s="47"/>
      <c r="I13" s="18"/>
      <c r="J13" s="18"/>
      <c r="K13" s="18"/>
      <c r="L13" s="18"/>
      <c r="M13" s="19"/>
      <c r="N13" s="20"/>
      <c r="Q13" s="2"/>
    </row>
    <row r="14" spans="2:17" ht="12.75">
      <c r="B14" s="21" t="s">
        <v>12</v>
      </c>
      <c r="C14" s="48">
        <f>(291918428.81+761921.12)/1000</f>
        <v>292680</v>
      </c>
      <c r="D14" s="49">
        <f>(749048745.23+0)/1000</f>
        <v>749049</v>
      </c>
      <c r="E14" s="48">
        <f>(299008264.91+671656.1)/1000</f>
        <v>299680</v>
      </c>
      <c r="F14" s="49">
        <f>(743034716.86+0)/1000</f>
        <v>743035</v>
      </c>
      <c r="G14" s="48">
        <f>(290439505.19+812030.05+1145.97)/1000</f>
        <v>291253</v>
      </c>
      <c r="H14" s="50">
        <f>(658529711.82+0)/1000</f>
        <v>658530</v>
      </c>
      <c r="I14" s="29">
        <v>0</v>
      </c>
      <c r="J14" s="29">
        <v>0</v>
      </c>
      <c r="K14" s="29">
        <v>0</v>
      </c>
      <c r="L14" s="32">
        <v>0</v>
      </c>
      <c r="M14" s="29">
        <v>0</v>
      </c>
      <c r="N14" s="33">
        <v>0</v>
      </c>
      <c r="Q14" s="2"/>
    </row>
    <row r="15" spans="2:17" ht="12.75">
      <c r="B15" s="21" t="s">
        <v>5</v>
      </c>
      <c r="C15" s="51">
        <f>(1226610571.7+0)/1000</f>
        <v>1226611</v>
      </c>
      <c r="D15" s="52">
        <f>(917958220+0)/1000</f>
        <v>917958</v>
      </c>
      <c r="E15" s="51">
        <f>(1218847427.83+0)/1000</f>
        <v>1218847</v>
      </c>
      <c r="F15" s="52">
        <f>(993833299.44+0)/1000</f>
        <v>993833</v>
      </c>
      <c r="G15" s="51">
        <f>(1389045960.1+0)/1000</f>
        <v>1389046</v>
      </c>
      <c r="H15" s="53">
        <f>(1181722574.66+0)/1000</f>
        <v>1181723</v>
      </c>
      <c r="I15" s="29">
        <v>0</v>
      </c>
      <c r="J15" s="29">
        <v>0</v>
      </c>
      <c r="K15" s="29">
        <v>0</v>
      </c>
      <c r="L15" s="32">
        <v>0</v>
      </c>
      <c r="M15" s="29">
        <v>0</v>
      </c>
      <c r="N15" s="33">
        <v>0</v>
      </c>
      <c r="Q15" s="2"/>
    </row>
    <row r="16" spans="2:17" ht="12.75">
      <c r="B16" s="21" t="s">
        <v>2</v>
      </c>
      <c r="C16" s="54">
        <f>0/1000</f>
        <v>0</v>
      </c>
      <c r="D16" s="49">
        <f>3985453.13/1000</f>
        <v>3985</v>
      </c>
      <c r="E16" s="54">
        <f>0/1000</f>
        <v>0</v>
      </c>
      <c r="F16" s="49">
        <f>4998813.25/1000</f>
        <v>4999</v>
      </c>
      <c r="G16" s="54">
        <f>0/1000</f>
        <v>0</v>
      </c>
      <c r="H16" s="50">
        <f>4598493.42/1000</f>
        <v>4598</v>
      </c>
      <c r="I16" s="29">
        <v>0</v>
      </c>
      <c r="J16" s="29">
        <v>0</v>
      </c>
      <c r="K16" s="29">
        <v>0</v>
      </c>
      <c r="L16" s="32">
        <v>0</v>
      </c>
      <c r="M16" s="29">
        <v>0</v>
      </c>
      <c r="N16" s="33">
        <v>0</v>
      </c>
      <c r="Q16" s="2"/>
    </row>
    <row r="17" spans="2:17" ht="12.75">
      <c r="B17" s="26" t="s">
        <v>20</v>
      </c>
      <c r="C17" s="51"/>
      <c r="D17" s="55"/>
      <c r="E17" s="51"/>
      <c r="F17" s="55"/>
      <c r="G17" s="51"/>
      <c r="H17" s="56"/>
      <c r="I17" s="30"/>
      <c r="J17" s="30"/>
      <c r="K17" s="30"/>
      <c r="L17" s="34"/>
      <c r="M17" s="30"/>
      <c r="N17" s="35"/>
      <c r="Q17" s="2"/>
    </row>
    <row r="18" spans="2:17" ht="12.75">
      <c r="B18" s="21" t="s">
        <v>12</v>
      </c>
      <c r="C18" s="54">
        <f>(812567492.32+410919.74)/1000</f>
        <v>812978</v>
      </c>
      <c r="D18" s="54">
        <f>(11305494.53+0)/1000</f>
        <v>11305</v>
      </c>
      <c r="E18" s="54">
        <f>(836952528.74+410919.74)/1000</f>
        <v>837363</v>
      </c>
      <c r="F18" s="54">
        <f>(11855949.44+0)/1000</f>
        <v>11856</v>
      </c>
      <c r="G18" s="54">
        <f>(767441209.62+431351.82)/1000</f>
        <v>767873</v>
      </c>
      <c r="H18" s="57">
        <f>(12413815.56+0)/1000</f>
        <v>12414</v>
      </c>
      <c r="I18" s="29">
        <v>2.31</v>
      </c>
      <c r="J18" s="29">
        <v>2</v>
      </c>
      <c r="K18" s="29">
        <v>2.28</v>
      </c>
      <c r="L18" s="32">
        <v>2</v>
      </c>
      <c r="M18" s="29">
        <v>2.08</v>
      </c>
      <c r="N18" s="33">
        <v>2</v>
      </c>
      <c r="Q18" s="2"/>
    </row>
    <row r="19" spans="2:17" ht="12.75">
      <c r="B19" s="21" t="s">
        <v>5</v>
      </c>
      <c r="C19" s="51">
        <f>(300328757.77+0)/1000</f>
        <v>300329</v>
      </c>
      <c r="D19" s="58">
        <f>(47841990.94+0)/1000</f>
        <v>47842</v>
      </c>
      <c r="E19" s="51">
        <f>(287496825.17+0)/1000</f>
        <v>287497</v>
      </c>
      <c r="F19" s="58">
        <f>(88894631.62+0)/1000</f>
        <v>88895</v>
      </c>
      <c r="G19" s="51">
        <f>(205883961.4+0)/1000</f>
        <v>205884</v>
      </c>
      <c r="H19" s="59">
        <f>(53490568.67+0)/1000</f>
        <v>53491</v>
      </c>
      <c r="I19" s="29">
        <v>1.82</v>
      </c>
      <c r="J19" s="29">
        <v>0.53</v>
      </c>
      <c r="K19" s="29">
        <v>1.36</v>
      </c>
      <c r="L19" s="32">
        <v>0.37</v>
      </c>
      <c r="M19" s="31">
        <v>1.46</v>
      </c>
      <c r="N19" s="33">
        <v>0.48</v>
      </c>
      <c r="Q19" s="2"/>
    </row>
    <row r="20" spans="2:17" ht="12.75">
      <c r="B20" s="21" t="s">
        <v>2</v>
      </c>
      <c r="C20" s="54">
        <f aca="true" t="shared" si="0" ref="C20:H20">0/1000</f>
        <v>0</v>
      </c>
      <c r="D20" s="49">
        <f t="shared" si="0"/>
        <v>0</v>
      </c>
      <c r="E20" s="54">
        <f t="shared" si="0"/>
        <v>0</v>
      </c>
      <c r="F20" s="49">
        <f t="shared" si="0"/>
        <v>0</v>
      </c>
      <c r="G20" s="54">
        <f t="shared" si="0"/>
        <v>0</v>
      </c>
      <c r="H20" s="50">
        <f t="shared" si="0"/>
        <v>0</v>
      </c>
      <c r="I20" s="29">
        <v>0</v>
      </c>
      <c r="J20" s="29">
        <v>0</v>
      </c>
      <c r="K20" s="29">
        <v>0</v>
      </c>
      <c r="L20" s="32">
        <v>0</v>
      </c>
      <c r="M20" s="29">
        <v>0</v>
      </c>
      <c r="N20" s="33">
        <v>0</v>
      </c>
      <c r="Q20" s="2"/>
    </row>
    <row r="21" spans="2:17" ht="12.75">
      <c r="B21" s="26" t="s">
        <v>10</v>
      </c>
      <c r="C21" s="51"/>
      <c r="D21" s="52"/>
      <c r="E21" s="51"/>
      <c r="F21" s="52"/>
      <c r="G21" s="51"/>
      <c r="H21" s="53"/>
      <c r="I21" s="30"/>
      <c r="J21" s="30"/>
      <c r="K21" s="30"/>
      <c r="L21" s="34"/>
      <c r="M21" s="30"/>
      <c r="N21" s="35"/>
      <c r="Q21" s="2"/>
    </row>
    <row r="22" spans="2:17" ht="12.75">
      <c r="B22" s="21" t="s">
        <v>12</v>
      </c>
      <c r="C22" s="54">
        <f>(516777.5+15969.11+0)/1000</f>
        <v>533</v>
      </c>
      <c r="D22" s="49">
        <f>(226995.25+2032.7)/1000</f>
        <v>229</v>
      </c>
      <c r="E22" s="54">
        <f>(516777.5+14973.96)/1000</f>
        <v>532</v>
      </c>
      <c r="F22" s="49">
        <f>(237965.63+0)/1000</f>
        <v>238</v>
      </c>
      <c r="G22" s="54">
        <f>(516777.5+14973.96)/1000</f>
        <v>532</v>
      </c>
      <c r="H22" s="50">
        <f>(248919.29+207773.02)/1000</f>
        <v>457</v>
      </c>
      <c r="I22" s="29">
        <v>0</v>
      </c>
      <c r="J22" s="29">
        <v>0</v>
      </c>
      <c r="K22" s="29">
        <v>0</v>
      </c>
      <c r="L22" s="32">
        <v>0</v>
      </c>
      <c r="M22" s="29">
        <v>0</v>
      </c>
      <c r="N22" s="33">
        <v>0</v>
      </c>
      <c r="Q22" s="2"/>
    </row>
    <row r="23" spans="2:17" ht="12.75">
      <c r="B23" s="21" t="s">
        <v>5</v>
      </c>
      <c r="C23" s="51">
        <f>9454886.19/1000</f>
        <v>9455</v>
      </c>
      <c r="D23" s="55">
        <f>14122024.33/1000</f>
        <v>14122</v>
      </c>
      <c r="E23" s="51">
        <f>13576674.13/1000</f>
        <v>13577</v>
      </c>
      <c r="F23" s="55">
        <f>14600055.58/1000</f>
        <v>14600</v>
      </c>
      <c r="G23" s="51">
        <f>15573044.17/1000</f>
        <v>15573</v>
      </c>
      <c r="H23" s="56">
        <f>16625984.21/1000</f>
        <v>16626</v>
      </c>
      <c r="I23" s="29">
        <v>0</v>
      </c>
      <c r="J23" s="29">
        <v>0</v>
      </c>
      <c r="K23" s="29">
        <v>0</v>
      </c>
      <c r="L23" s="32">
        <v>0</v>
      </c>
      <c r="M23" s="29">
        <v>0</v>
      </c>
      <c r="N23" s="33">
        <v>0</v>
      </c>
      <c r="Q23" s="2"/>
    </row>
    <row r="24" spans="2:17" ht="12.75">
      <c r="B24" s="21" t="s">
        <v>2</v>
      </c>
      <c r="C24" s="57">
        <f aca="true" t="shared" si="1" ref="C24:H24">0/1000</f>
        <v>0</v>
      </c>
      <c r="D24" s="52">
        <f t="shared" si="1"/>
        <v>0</v>
      </c>
      <c r="E24" s="57">
        <f t="shared" si="1"/>
        <v>0</v>
      </c>
      <c r="F24" s="52">
        <f t="shared" si="1"/>
        <v>0</v>
      </c>
      <c r="G24" s="57">
        <f t="shared" si="1"/>
        <v>0</v>
      </c>
      <c r="H24" s="53">
        <f t="shared" si="1"/>
        <v>0</v>
      </c>
      <c r="I24" s="29">
        <v>0</v>
      </c>
      <c r="J24" s="29">
        <v>0</v>
      </c>
      <c r="K24" s="29">
        <v>0</v>
      </c>
      <c r="L24" s="32">
        <v>0</v>
      </c>
      <c r="M24" s="29">
        <v>0</v>
      </c>
      <c r="N24" s="33">
        <v>0</v>
      </c>
      <c r="Q24" s="2"/>
    </row>
    <row r="25" spans="2:17" ht="12.75">
      <c r="B25" s="27" t="s">
        <v>13</v>
      </c>
      <c r="C25" s="51"/>
      <c r="D25" s="60"/>
      <c r="E25" s="51"/>
      <c r="F25" s="60"/>
      <c r="G25" s="51"/>
      <c r="H25" s="61"/>
      <c r="I25" s="30"/>
      <c r="J25" s="30"/>
      <c r="K25" s="30"/>
      <c r="L25" s="34"/>
      <c r="M25" s="30"/>
      <c r="N25" s="35"/>
      <c r="Q25" s="2"/>
    </row>
    <row r="26" spans="2:17" ht="12.75">
      <c r="B26" s="21" t="s">
        <v>12</v>
      </c>
      <c r="C26" s="54">
        <f>(3629824934.46+1334532047.2)/1000</f>
        <v>4964357</v>
      </c>
      <c r="D26" s="49">
        <f>(3715847801.97+1059023756.48)/1000</f>
        <v>4774872</v>
      </c>
      <c r="E26" s="54">
        <f>(3602747166.96+1402443925.39)/1000</f>
        <v>5005191</v>
      </c>
      <c r="F26" s="49">
        <f>(3824458715.19+1123753653.61)/1000</f>
        <v>4948212</v>
      </c>
      <c r="G26" s="54">
        <f>(2830251265.36+2139253050.23)/1000</f>
        <v>4969504</v>
      </c>
      <c r="H26" s="50">
        <f>(3580815779.85999+1105589741.52)/1000</f>
        <v>4686406</v>
      </c>
      <c r="I26" s="29">
        <v>5.64</v>
      </c>
      <c r="J26" s="29">
        <v>1.81</v>
      </c>
      <c r="K26" s="29">
        <v>5.61</v>
      </c>
      <c r="L26" s="32">
        <v>1.81</v>
      </c>
      <c r="M26" s="29">
        <v>7.76</v>
      </c>
      <c r="N26" s="33">
        <v>2.22</v>
      </c>
      <c r="Q26" s="2"/>
    </row>
    <row r="27" spans="2:17" ht="12.75">
      <c r="B27" s="28" t="s">
        <v>5</v>
      </c>
      <c r="C27" s="51">
        <f>786381311.29/1000</f>
        <v>786381</v>
      </c>
      <c r="D27" s="55">
        <f>735973805.98/1000</f>
        <v>735974</v>
      </c>
      <c r="E27" s="51">
        <f>785037990.25/1000</f>
        <v>785038</v>
      </c>
      <c r="F27" s="55">
        <f>739965426.52/1000</f>
        <v>739965</v>
      </c>
      <c r="G27" s="51">
        <f>466663289.42/1000</f>
        <v>466663</v>
      </c>
      <c r="H27" s="56">
        <f>691215383.47/1000</f>
        <v>691215</v>
      </c>
      <c r="I27" s="29">
        <v>5.18</v>
      </c>
      <c r="J27" s="29">
        <v>2.32</v>
      </c>
      <c r="K27" s="29">
        <v>5.41</v>
      </c>
      <c r="L27" s="32">
        <v>2.28</v>
      </c>
      <c r="M27" s="29">
        <v>7.15</v>
      </c>
      <c r="N27" s="33">
        <v>2.82</v>
      </c>
      <c r="Q27" s="2"/>
    </row>
    <row r="28" spans="2:17" ht="12.75">
      <c r="B28" s="21" t="s">
        <v>2</v>
      </c>
      <c r="C28" s="54">
        <f aca="true" t="shared" si="2" ref="C28:H28">0/1000</f>
        <v>0</v>
      </c>
      <c r="D28" s="49">
        <f t="shared" si="2"/>
        <v>0</v>
      </c>
      <c r="E28" s="54">
        <f t="shared" si="2"/>
        <v>0</v>
      </c>
      <c r="F28" s="49">
        <f t="shared" si="2"/>
        <v>0</v>
      </c>
      <c r="G28" s="54">
        <f t="shared" si="2"/>
        <v>0</v>
      </c>
      <c r="H28" s="50">
        <f t="shared" si="2"/>
        <v>0</v>
      </c>
      <c r="I28" s="29">
        <v>0</v>
      </c>
      <c r="J28" s="29">
        <v>0</v>
      </c>
      <c r="K28" s="29">
        <v>0</v>
      </c>
      <c r="L28" s="32">
        <v>0</v>
      </c>
      <c r="M28" s="29">
        <v>0</v>
      </c>
      <c r="N28" s="33">
        <v>0</v>
      </c>
      <c r="Q28" s="2"/>
    </row>
    <row r="29" spans="2:17" ht="12.75">
      <c r="B29" s="26" t="s">
        <v>17</v>
      </c>
      <c r="C29" s="51"/>
      <c r="D29" s="60"/>
      <c r="E29" s="62"/>
      <c r="F29" s="46"/>
      <c r="G29" s="46"/>
      <c r="H29" s="63"/>
      <c r="I29" s="31"/>
      <c r="J29" s="31"/>
      <c r="K29" s="31"/>
      <c r="L29" s="36"/>
      <c r="M29" s="31"/>
      <c r="N29" s="35"/>
      <c r="Q29" s="2"/>
    </row>
    <row r="30" spans="2:17" ht="12.75">
      <c r="B30" s="21" t="s">
        <v>12</v>
      </c>
      <c r="C30" s="54">
        <f aca="true" t="shared" si="3" ref="C30:H32">C14+C18+C22+C26</f>
        <v>6070548</v>
      </c>
      <c r="D30" s="49">
        <f t="shared" si="3"/>
        <v>5535455</v>
      </c>
      <c r="E30" s="64">
        <f t="shared" si="3"/>
        <v>6142766</v>
      </c>
      <c r="F30" s="64">
        <f t="shared" si="3"/>
        <v>5703341</v>
      </c>
      <c r="G30" s="64">
        <f t="shared" si="3"/>
        <v>6029162</v>
      </c>
      <c r="H30" s="65">
        <f t="shared" si="3"/>
        <v>5357807</v>
      </c>
      <c r="I30" s="29">
        <f aca="true" t="shared" si="4" ref="I30:N32">IF(C30=0,0,(C14*I14+C18*I18+C22*I22+C26*I26)/C30)</f>
        <v>4.92</v>
      </c>
      <c r="J30" s="29">
        <f t="shared" si="4"/>
        <v>1.57</v>
      </c>
      <c r="K30" s="29">
        <f t="shared" si="4"/>
        <v>4.88</v>
      </c>
      <c r="L30" s="32">
        <f t="shared" si="4"/>
        <v>1.57</v>
      </c>
      <c r="M30" s="29">
        <f t="shared" si="4"/>
        <v>6.66</v>
      </c>
      <c r="N30" s="33">
        <f t="shared" si="4"/>
        <v>1.95</v>
      </c>
      <c r="Q30" s="2"/>
    </row>
    <row r="31" spans="2:17" ht="12.75">
      <c r="B31" s="21" t="s">
        <v>5</v>
      </c>
      <c r="C31" s="51">
        <f t="shared" si="3"/>
        <v>2322776</v>
      </c>
      <c r="D31" s="66">
        <f t="shared" si="3"/>
        <v>1715896</v>
      </c>
      <c r="E31" s="67">
        <f t="shared" si="3"/>
        <v>2304959</v>
      </c>
      <c r="F31" s="67">
        <f t="shared" si="3"/>
        <v>1837293</v>
      </c>
      <c r="G31" s="67">
        <f t="shared" si="3"/>
        <v>2077166</v>
      </c>
      <c r="H31" s="68">
        <f t="shared" si="3"/>
        <v>1943055</v>
      </c>
      <c r="I31" s="37">
        <f t="shared" si="4"/>
        <v>1.99</v>
      </c>
      <c r="J31" s="37">
        <f t="shared" si="4"/>
        <v>1.01</v>
      </c>
      <c r="K31" s="37">
        <f t="shared" si="4"/>
        <v>2.01</v>
      </c>
      <c r="L31" s="38">
        <f t="shared" si="4"/>
        <v>0.94</v>
      </c>
      <c r="M31" s="37">
        <f t="shared" si="4"/>
        <v>1.75</v>
      </c>
      <c r="N31" s="39">
        <f t="shared" si="4"/>
        <v>1.02</v>
      </c>
      <c r="Q31" s="2"/>
    </row>
    <row r="32" spans="2:17" ht="12.75">
      <c r="B32" s="22" t="s">
        <v>2</v>
      </c>
      <c r="C32" s="69">
        <f t="shared" si="3"/>
        <v>0</v>
      </c>
      <c r="D32" s="70">
        <f t="shared" si="3"/>
        <v>3985</v>
      </c>
      <c r="E32" s="70">
        <f t="shared" si="3"/>
        <v>0</v>
      </c>
      <c r="F32" s="71">
        <f t="shared" si="3"/>
        <v>4999</v>
      </c>
      <c r="G32" s="72">
        <f t="shared" si="3"/>
        <v>0</v>
      </c>
      <c r="H32" s="72">
        <f t="shared" si="3"/>
        <v>4598</v>
      </c>
      <c r="I32" s="40">
        <f t="shared" si="4"/>
        <v>0</v>
      </c>
      <c r="J32" s="40">
        <f t="shared" si="4"/>
        <v>0</v>
      </c>
      <c r="K32" s="40">
        <f t="shared" si="4"/>
        <v>0</v>
      </c>
      <c r="L32" s="41">
        <f t="shared" si="4"/>
        <v>0</v>
      </c>
      <c r="M32" s="40">
        <f t="shared" si="4"/>
        <v>0</v>
      </c>
      <c r="N32" s="42">
        <f t="shared" si="4"/>
        <v>0</v>
      </c>
      <c r="Q32" s="2"/>
    </row>
    <row r="33" spans="2:17" ht="12.75">
      <c r="B33" s="2"/>
      <c r="D33" s="23"/>
      <c r="Q33" s="2"/>
    </row>
    <row r="34" spans="2:17" ht="12.75">
      <c r="B34" s="24"/>
      <c r="Q34" s="2"/>
    </row>
    <row r="35" spans="2:17" ht="12.75">
      <c r="B35" s="73"/>
      <c r="Q35" s="2"/>
    </row>
    <row r="36" spans="2:17" ht="12.75">
      <c r="B36" s="24"/>
      <c r="Q36" s="2"/>
    </row>
    <row r="37" spans="2:17" ht="12.75">
      <c r="B37" s="24"/>
      <c r="Q37" s="2"/>
    </row>
    <row r="38" spans="2:17" ht="12.75">
      <c r="B38" s="24"/>
      <c r="Q38" s="2"/>
    </row>
    <row r="39" spans="2:17" ht="12.75">
      <c r="B39" s="2"/>
      <c r="Q39" s="2"/>
    </row>
    <row r="40" spans="2:17" ht="12.75">
      <c r="B40" s="2"/>
      <c r="Q40" s="2"/>
    </row>
    <row r="41" spans="2:17" ht="12.75">
      <c r="B41" s="2"/>
      <c r="Q41" s="2"/>
    </row>
    <row r="42" spans="2:17" ht="12.75">
      <c r="B42" s="2"/>
      <c r="Q42" s="2"/>
    </row>
    <row r="43" spans="2:17" ht="12.75">
      <c r="B43" s="2"/>
      <c r="Q43" s="2"/>
    </row>
    <row r="44" spans="2:17" ht="12.75">
      <c r="B44" s="2"/>
      <c r="C44" s="74"/>
      <c r="Q44" s="2"/>
    </row>
    <row r="45" spans="2:17" ht="12.75">
      <c r="B45" s="2"/>
      <c r="Q45" s="2"/>
    </row>
    <row r="46" spans="2:17" ht="12.75">
      <c r="B46" s="2"/>
      <c r="Q46" s="2"/>
    </row>
  </sheetData>
  <sheetProtection/>
  <mergeCells count="12">
    <mergeCell ref="B3:J3"/>
    <mergeCell ref="B4:J4"/>
    <mergeCell ref="B6:J6"/>
    <mergeCell ref="M10:N10"/>
    <mergeCell ref="I9:N9"/>
    <mergeCell ref="K10:L10"/>
    <mergeCell ref="B9:B11"/>
    <mergeCell ref="C10:D10"/>
    <mergeCell ref="G10:H10"/>
    <mergeCell ref="I10:J10"/>
    <mergeCell ref="E10:F10"/>
    <mergeCell ref="C9:H9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I. Solomon</dc:creator>
  <cp:keywords/>
  <dc:description/>
  <cp:lastModifiedBy>user</cp:lastModifiedBy>
  <cp:lastPrinted>2017-06-22T08:32:20Z</cp:lastPrinted>
  <dcterms:modified xsi:type="dcterms:W3CDTF">2017-06-22T08:36:34Z</dcterms:modified>
  <cp:category/>
  <cp:version/>
  <cp:contentType/>
  <cp:contentStatus/>
</cp:coreProperties>
</file>