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<sst xmlns="http://schemas.openxmlformats.org/spreadsheetml/2006/main" count="52" uniqueCount="40">
  <si>
    <t>Creditele overnight si overdraft acordate bancilor</t>
  </si>
  <si>
    <t>Credite acordate in domeniul transportului, telecomunicatiilor si dezvoltarii retelei</t>
  </si>
  <si>
    <t>acordate in valuta striana *</t>
  </si>
  <si>
    <t>de catre bancile din Republica Moldova</t>
  </si>
  <si>
    <t xml:space="preserve">Credite acordate industriei alimentare </t>
  </si>
  <si>
    <t>Credite acordate de consum****</t>
  </si>
  <si>
    <t>lunii gestionare</t>
  </si>
  <si>
    <t>Credite acordate bancilor</t>
  </si>
  <si>
    <t>Credite acordate in domeniul prestarii serviciilor</t>
  </si>
  <si>
    <t>acordate in valuta straina *</t>
  </si>
  <si>
    <t>Credite acordate comertului</t>
  </si>
  <si>
    <t xml:space="preserve"> Portofoliul de credite, mii lei, sold la sfirsitul </t>
  </si>
  <si>
    <t>Alte credite acordate ***</t>
  </si>
  <si>
    <t xml:space="preserve">Credite acordate in domeniul constructiilor </t>
  </si>
  <si>
    <t>Credite acordate organizatiilor necomerciale</t>
  </si>
  <si>
    <t>a informatiei aferente activitatilor lor</t>
  </si>
  <si>
    <t>Informatia privind creditele</t>
  </si>
  <si>
    <t>Anexa 2</t>
  </si>
  <si>
    <t>Ramura creditului</t>
  </si>
  <si>
    <t>a BC "Moldova-Agroindbank" S.A.</t>
  </si>
  <si>
    <t>in MDL</t>
  </si>
  <si>
    <t>lunii precedente celei gestionare</t>
  </si>
  <si>
    <t>Credite acordate industriei productive</t>
  </si>
  <si>
    <t>Credite acordate institutiilor finantate de la bugetul de stat</t>
  </si>
  <si>
    <t>acordate in MDL</t>
  </si>
  <si>
    <t>Credite acordate agriculturii</t>
  </si>
  <si>
    <t>Credite acordate industriei energetice</t>
  </si>
  <si>
    <t xml:space="preserve">Credite acordate unitatilor administrativ teritoriale/institutiilor subordonate unitatilor administrativ teritoriale </t>
  </si>
  <si>
    <t>Credite acordate mediului financiar nebancar</t>
  </si>
  <si>
    <t>A</t>
  </si>
  <si>
    <t>la Regulamentul cu privire la dezvaluirea</t>
  </si>
  <si>
    <t>Credite acordate pentru procurarea/construirea imobilului ****</t>
  </si>
  <si>
    <t>Credite acordate persoanelor fizice care practica activitate</t>
  </si>
  <si>
    <t>anului precedent celui gestionar</t>
  </si>
  <si>
    <t>Rata medie a dobanzii aferenta soldurilor creditelor **,                                    %, la sfirsitul</t>
  </si>
  <si>
    <t>Nr. creditelor acordate in perioada lunii gestionare</t>
  </si>
  <si>
    <t>in valuta straina</t>
  </si>
  <si>
    <t>Credite acordate Casei Nationale de Asigurari Sociale/Companiei Nationale de Asigurari in Medicina</t>
  </si>
  <si>
    <t>Credite acordate Guvernului</t>
  </si>
  <si>
    <t>la situatia  30.04.2017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</si>
</sst>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0.000E+00"/>
    <numFmt numFmtId="176" formatCode="0.0E+00"/>
    <numFmt numFmtId="177" formatCode="0.E+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2" fontId="4" fillId="0" borderId="20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wrapText="1"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0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32</xdr:row>
      <xdr:rowOff>47625</xdr:rowOff>
    </xdr:from>
    <xdr:to>
      <xdr:col>12</xdr:col>
      <xdr:colOff>533400</xdr:colOff>
      <xdr:row>43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10350"/>
          <a:ext cx="100584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6">
      <selection activeCell="Q53" sqref="A33:Q53"/>
    </sheetView>
  </sheetViews>
  <sheetFormatPr defaultColWidth="9.140625" defaultRowHeight="12.75"/>
  <cols>
    <col min="1" max="1" width="5.140625" style="1" customWidth="1"/>
    <col min="2" max="2" width="51.00390625" style="1" customWidth="1"/>
    <col min="3" max="4" width="8.57421875" style="1" customWidth="1"/>
    <col min="5" max="16384" width="9.140625" style="1" customWidth="1"/>
  </cols>
  <sheetData>
    <row r="1" spans="1:19" ht="12.75">
      <c r="A1" s="2"/>
      <c r="B1" s="2"/>
      <c r="C1" s="2"/>
      <c r="D1" s="2"/>
      <c r="E1" s="2"/>
      <c r="J1" s="2"/>
      <c r="K1" s="2"/>
      <c r="N1" s="30"/>
      <c r="O1" s="2"/>
      <c r="P1" s="2"/>
      <c r="S1" s="2"/>
    </row>
    <row r="2" spans="1:19" ht="12.75">
      <c r="A2" s="2"/>
      <c r="B2" s="2"/>
      <c r="C2" s="2"/>
      <c r="D2" s="29"/>
      <c r="E2" s="2"/>
      <c r="J2" s="2"/>
      <c r="K2" s="2"/>
      <c r="N2" s="2"/>
      <c r="P2" s="28" t="s">
        <v>17</v>
      </c>
      <c r="S2" s="2"/>
    </row>
    <row r="3" spans="1:19" ht="12.75">
      <c r="A3" s="2"/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 t="s">
        <v>30</v>
      </c>
      <c r="N3" s="64"/>
      <c r="O3" s="64"/>
      <c r="P3" s="64"/>
      <c r="S3" s="2"/>
    </row>
    <row r="4" spans="1:19" ht="12.75">
      <c r="A4" s="2"/>
      <c r="B4" s="63" t="s">
        <v>19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 t="s">
        <v>3</v>
      </c>
      <c r="N4" s="64"/>
      <c r="O4" s="64"/>
      <c r="P4" s="64"/>
      <c r="S4" s="2"/>
    </row>
    <row r="5" spans="1:19" ht="12.75">
      <c r="A5" s="2"/>
      <c r="B5" s="2"/>
      <c r="M5" s="64" t="s">
        <v>15</v>
      </c>
      <c r="N5" s="64"/>
      <c r="O5" s="64"/>
      <c r="P5" s="64"/>
      <c r="S5" s="2"/>
    </row>
    <row r="6" spans="1:19" ht="12.75">
      <c r="A6" s="2"/>
      <c r="B6" s="63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3"/>
      <c r="N6" s="3"/>
      <c r="O6" s="3"/>
      <c r="P6" s="3"/>
      <c r="S6" s="2"/>
    </row>
    <row r="7" spans="1:19" ht="12.75">
      <c r="A7" s="2"/>
      <c r="B7" s="2"/>
      <c r="M7" s="2"/>
      <c r="S7" s="2"/>
    </row>
    <row r="8" spans="1:19" ht="57.75" customHeight="1">
      <c r="A8" s="2"/>
      <c r="B8" s="54" t="s">
        <v>18</v>
      </c>
      <c r="C8" s="59" t="s">
        <v>35</v>
      </c>
      <c r="D8" s="59"/>
      <c r="E8" s="60" t="s">
        <v>11</v>
      </c>
      <c r="F8" s="60"/>
      <c r="G8" s="60"/>
      <c r="H8" s="60"/>
      <c r="I8" s="60"/>
      <c r="J8" s="60"/>
      <c r="K8" s="61" t="s">
        <v>34</v>
      </c>
      <c r="L8" s="61"/>
      <c r="M8" s="61"/>
      <c r="N8" s="61"/>
      <c r="O8" s="61"/>
      <c r="P8" s="61"/>
      <c r="S8" s="2"/>
    </row>
    <row r="9" spans="1:19" ht="12.75">
      <c r="A9" s="2"/>
      <c r="B9" s="54"/>
      <c r="C9" s="57" t="s">
        <v>20</v>
      </c>
      <c r="D9" s="51" t="s">
        <v>36</v>
      </c>
      <c r="E9" s="47" t="s">
        <v>6</v>
      </c>
      <c r="F9" s="48"/>
      <c r="G9" s="49" t="s">
        <v>21</v>
      </c>
      <c r="H9" s="50"/>
      <c r="I9" s="52" t="s">
        <v>33</v>
      </c>
      <c r="J9" s="50"/>
      <c r="K9" s="47" t="s">
        <v>6</v>
      </c>
      <c r="L9" s="48"/>
      <c r="M9" s="49" t="s">
        <v>21</v>
      </c>
      <c r="N9" s="51"/>
      <c r="O9" s="56" t="s">
        <v>33</v>
      </c>
      <c r="P9" s="56"/>
      <c r="S9" s="2"/>
    </row>
    <row r="10" spans="1:19" ht="38.25">
      <c r="A10" s="2"/>
      <c r="B10" s="55"/>
      <c r="C10" s="58"/>
      <c r="D10" s="62"/>
      <c r="E10" s="4" t="s">
        <v>24</v>
      </c>
      <c r="F10" s="5" t="s">
        <v>9</v>
      </c>
      <c r="G10" s="5" t="s">
        <v>24</v>
      </c>
      <c r="H10" s="5" t="s">
        <v>9</v>
      </c>
      <c r="I10" s="5" t="s">
        <v>24</v>
      </c>
      <c r="J10" s="5" t="s">
        <v>9</v>
      </c>
      <c r="K10" s="5" t="s">
        <v>24</v>
      </c>
      <c r="L10" s="5" t="s">
        <v>9</v>
      </c>
      <c r="M10" s="5" t="s">
        <v>24</v>
      </c>
      <c r="N10" s="5" t="s">
        <v>9</v>
      </c>
      <c r="O10" s="6" t="s">
        <v>24</v>
      </c>
      <c r="P10" s="7" t="s">
        <v>2</v>
      </c>
      <c r="S10" s="2"/>
    </row>
    <row r="11" spans="1:19" ht="12.75">
      <c r="A11" s="2"/>
      <c r="B11" s="8" t="s">
        <v>29</v>
      </c>
      <c r="C11" s="9">
        <v>1</v>
      </c>
      <c r="D11" s="10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2">
        <v>14</v>
      </c>
      <c r="S11" s="2"/>
    </row>
    <row r="12" spans="1:19" ht="12.75">
      <c r="A12" s="2"/>
      <c r="B12" s="13" t="s">
        <v>25</v>
      </c>
      <c r="C12" s="31">
        <f>58</f>
        <v>58</v>
      </c>
      <c r="D12" s="32">
        <f>2</f>
        <v>2</v>
      </c>
      <c r="E12" s="33">
        <f>579631992.39/1000</f>
        <v>579631.99239</v>
      </c>
      <c r="F12" s="33">
        <f>242230110.6/1000</f>
        <v>242230.11059999999</v>
      </c>
      <c r="G12" s="33">
        <f>534907757.28/1000</f>
        <v>534907.75728</v>
      </c>
      <c r="H12" s="33">
        <f>298763761.75/1000</f>
        <v>298763.76175</v>
      </c>
      <c r="I12" s="33">
        <f>483290076.38/1000</f>
        <v>483290.07638</v>
      </c>
      <c r="J12" s="34">
        <f>321026389.52/1000</f>
        <v>321026.38951999997</v>
      </c>
      <c r="K12" s="14">
        <v>11.2391613573871</v>
      </c>
      <c r="L12" s="14">
        <v>6.01994085062933</v>
      </c>
      <c r="M12" s="14">
        <v>11.3373840028937</v>
      </c>
      <c r="N12" s="14">
        <v>6.09491959826483</v>
      </c>
      <c r="O12" s="15">
        <v>11.9417641538994</v>
      </c>
      <c r="P12" s="16">
        <v>6.29329627118531</v>
      </c>
      <c r="S12" s="2"/>
    </row>
    <row r="13" spans="1:19" ht="12.75">
      <c r="A13" s="2"/>
      <c r="B13" s="17" t="s">
        <v>4</v>
      </c>
      <c r="C13" s="35">
        <f>0</f>
        <v>0</v>
      </c>
      <c r="D13" s="36">
        <f>0</f>
        <v>0</v>
      </c>
      <c r="E13" s="37">
        <f>495778450.09/1000</f>
        <v>495778.45009</v>
      </c>
      <c r="F13" s="37">
        <f>1137569897.68/1000</f>
        <v>1137569.8976800002</v>
      </c>
      <c r="G13" s="37">
        <f>505325172.41/1000</f>
        <v>505325.17241</v>
      </c>
      <c r="H13" s="37">
        <f>1146595579.54/1000</f>
        <v>1146595.57954</v>
      </c>
      <c r="I13" s="37">
        <f>587633906.66/1000</f>
        <v>587633.90666</v>
      </c>
      <c r="J13" s="38">
        <f>1137129088.26/1000</f>
        <v>1137129.08826</v>
      </c>
      <c r="K13" s="18">
        <v>10.2218048751918</v>
      </c>
      <c r="L13" s="18">
        <v>5.25701373481056</v>
      </c>
      <c r="M13" s="18">
        <v>10.2707993745292</v>
      </c>
      <c r="N13" s="18">
        <v>5.21797151866115</v>
      </c>
      <c r="O13" s="19">
        <v>11.189797008041</v>
      </c>
      <c r="P13" s="20">
        <v>5.3694768740257</v>
      </c>
      <c r="S13" s="2"/>
    </row>
    <row r="14" spans="1:19" ht="12.75">
      <c r="A14" s="2"/>
      <c r="B14" s="17" t="s">
        <v>13</v>
      </c>
      <c r="C14" s="35">
        <f>3</f>
        <v>3</v>
      </c>
      <c r="D14" s="36">
        <f>1</f>
        <v>1</v>
      </c>
      <c r="E14" s="37">
        <f>109509964.27/1000</f>
        <v>109509.96427</v>
      </c>
      <c r="F14" s="37">
        <f>19349870.94/1000</f>
        <v>19349.87094</v>
      </c>
      <c r="G14" s="37">
        <f>107335426/1000</f>
        <v>107335.426</v>
      </c>
      <c r="H14" s="37">
        <f>16432144.76/1000</f>
        <v>16432.14476</v>
      </c>
      <c r="I14" s="37">
        <f>109278565.61/1000</f>
        <v>109278.56561</v>
      </c>
      <c r="J14" s="38">
        <f>18067375.59/1000</f>
        <v>18067.37559</v>
      </c>
      <c r="K14" s="18">
        <v>13.6388197337689</v>
      </c>
      <c r="L14" s="18">
        <v>5.85056621189536</v>
      </c>
      <c r="M14" s="18">
        <v>13.9154224221135</v>
      </c>
      <c r="N14" s="18">
        <v>6.0039840771096</v>
      </c>
      <c r="O14" s="19">
        <v>14.1756530438321</v>
      </c>
      <c r="P14" s="20">
        <v>5.93088386575684</v>
      </c>
      <c r="S14" s="2"/>
    </row>
    <row r="15" spans="1:19" ht="12.75">
      <c r="A15" s="2"/>
      <c r="B15" s="17" t="s">
        <v>5</v>
      </c>
      <c r="C15" s="35">
        <f>1553</f>
        <v>1553</v>
      </c>
      <c r="D15" s="36">
        <f>0</f>
        <v>0</v>
      </c>
      <c r="E15" s="37">
        <f>1511364677.96/1000</f>
        <v>1511364.67796</v>
      </c>
      <c r="F15" s="37">
        <f>0/1000</f>
        <v>0</v>
      </c>
      <c r="G15" s="37">
        <f>1476713993.56/1000</f>
        <v>1476713.9935599999</v>
      </c>
      <c r="H15" s="37">
        <f>0/1000</f>
        <v>0</v>
      </c>
      <c r="I15" s="37">
        <f>1475204607.25999/1000</f>
        <v>1475204.60725999</v>
      </c>
      <c r="J15" s="38">
        <f>0/1000</f>
        <v>0</v>
      </c>
      <c r="K15" s="18">
        <v>12.0959871381995</v>
      </c>
      <c r="L15" s="18">
        <v>0</v>
      </c>
      <c r="M15" s="18">
        <v>12.3981644973195</v>
      </c>
      <c r="N15" s="18">
        <v>0</v>
      </c>
      <c r="O15" s="19">
        <v>12.8727605325927</v>
      </c>
      <c r="P15" s="20">
        <v>0</v>
      </c>
      <c r="S15" s="2"/>
    </row>
    <row r="16" spans="1:19" ht="12.75">
      <c r="A16" s="2"/>
      <c r="B16" s="17" t="s">
        <v>26</v>
      </c>
      <c r="C16" s="35">
        <f>0</f>
        <v>0</v>
      </c>
      <c r="D16" s="36">
        <f>0</f>
        <v>0</v>
      </c>
      <c r="E16" s="37">
        <f>232807207.38/1000</f>
        <v>232807.20738</v>
      </c>
      <c r="F16" s="37">
        <f>145485818.79/1000</f>
        <v>145485.81879</v>
      </c>
      <c r="G16" s="37">
        <f>226265284.78/1000</f>
        <v>226265.28478</v>
      </c>
      <c r="H16" s="37">
        <f>139162025.94/1000</f>
        <v>139162.02594</v>
      </c>
      <c r="I16" s="37">
        <f>204476186.77/1000</f>
        <v>204476.18677</v>
      </c>
      <c r="J16" s="38">
        <f>142686753.99/1000</f>
        <v>142686.75399</v>
      </c>
      <c r="K16" s="18">
        <v>16.7063967062307</v>
      </c>
      <c r="L16" s="18">
        <v>5.93589079534643</v>
      </c>
      <c r="M16" s="18">
        <v>16.8723133012734</v>
      </c>
      <c r="N16" s="18">
        <v>5.92116419293701</v>
      </c>
      <c r="O16" s="19">
        <v>17.690774691377</v>
      </c>
      <c r="P16" s="20">
        <v>6.06237235806852</v>
      </c>
      <c r="S16" s="2"/>
    </row>
    <row r="17" spans="1:19" ht="12" customHeight="1">
      <c r="A17" s="2"/>
      <c r="B17" s="17" t="s">
        <v>7</v>
      </c>
      <c r="C17" s="35">
        <f>0</f>
        <v>0</v>
      </c>
      <c r="D17" s="36">
        <f>0</f>
        <v>0</v>
      </c>
      <c r="E17" s="37">
        <f aca="true" t="shared" si="0" ref="E17:J21">0/1000</f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8">
        <f t="shared" si="0"/>
        <v>0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20">
        <v>0</v>
      </c>
      <c r="S17" s="2"/>
    </row>
    <row r="18" spans="1:19" ht="12.75">
      <c r="A18" s="2"/>
      <c r="B18" s="17" t="s">
        <v>0</v>
      </c>
      <c r="C18" s="35">
        <f>0</f>
        <v>0</v>
      </c>
      <c r="D18" s="36">
        <f>0</f>
        <v>0</v>
      </c>
      <c r="E18" s="37">
        <f t="shared" si="0"/>
        <v>0</v>
      </c>
      <c r="F18" s="37">
        <f t="shared" si="0"/>
        <v>0</v>
      </c>
      <c r="G18" s="37">
        <f t="shared" si="0"/>
        <v>0</v>
      </c>
      <c r="H18" s="37">
        <f t="shared" si="0"/>
        <v>0</v>
      </c>
      <c r="I18" s="37">
        <f t="shared" si="0"/>
        <v>0</v>
      </c>
      <c r="J18" s="38">
        <f t="shared" si="0"/>
        <v>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20">
        <v>0</v>
      </c>
      <c r="S18" s="2"/>
    </row>
    <row r="19" spans="1:19" ht="12.75">
      <c r="A19" s="2"/>
      <c r="B19" s="17" t="s">
        <v>23</v>
      </c>
      <c r="C19" s="35">
        <f>0</f>
        <v>0</v>
      </c>
      <c r="D19" s="36">
        <f>0</f>
        <v>0</v>
      </c>
      <c r="E19" s="37">
        <f t="shared" si="0"/>
        <v>0</v>
      </c>
      <c r="F19" s="37">
        <f t="shared" si="0"/>
        <v>0</v>
      </c>
      <c r="G19" s="37">
        <f t="shared" si="0"/>
        <v>0</v>
      </c>
      <c r="H19" s="37">
        <f t="shared" si="0"/>
        <v>0</v>
      </c>
      <c r="I19" s="37">
        <f t="shared" si="0"/>
        <v>0</v>
      </c>
      <c r="J19" s="38">
        <f t="shared" si="0"/>
        <v>0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20">
        <v>0</v>
      </c>
      <c r="S19" s="2"/>
    </row>
    <row r="20" spans="1:19" ht="25.5">
      <c r="A20" s="2"/>
      <c r="B20" s="17" t="s">
        <v>37</v>
      </c>
      <c r="C20" s="35">
        <f>0</f>
        <v>0</v>
      </c>
      <c r="D20" s="36">
        <f>0</f>
        <v>0</v>
      </c>
      <c r="E20" s="37">
        <f t="shared" si="0"/>
        <v>0</v>
      </c>
      <c r="F20" s="37">
        <f t="shared" si="0"/>
        <v>0</v>
      </c>
      <c r="G20" s="37">
        <f t="shared" si="0"/>
        <v>0</v>
      </c>
      <c r="H20" s="37">
        <f t="shared" si="0"/>
        <v>0</v>
      </c>
      <c r="I20" s="37">
        <f t="shared" si="0"/>
        <v>0</v>
      </c>
      <c r="J20" s="38">
        <f t="shared" si="0"/>
        <v>0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20">
        <v>0</v>
      </c>
      <c r="S20" s="2"/>
    </row>
    <row r="21" spans="1:19" ht="12.75">
      <c r="A21" s="2"/>
      <c r="B21" s="17" t="s">
        <v>38</v>
      </c>
      <c r="C21" s="35">
        <f>0</f>
        <v>0</v>
      </c>
      <c r="D21" s="36">
        <f>0</f>
        <v>0</v>
      </c>
      <c r="E21" s="37">
        <f t="shared" si="0"/>
        <v>0</v>
      </c>
      <c r="F21" s="37">
        <f t="shared" si="0"/>
        <v>0</v>
      </c>
      <c r="G21" s="37">
        <f t="shared" si="0"/>
        <v>0</v>
      </c>
      <c r="H21" s="37">
        <f t="shared" si="0"/>
        <v>0</v>
      </c>
      <c r="I21" s="37">
        <f t="shared" si="0"/>
        <v>0</v>
      </c>
      <c r="J21" s="38">
        <f t="shared" si="0"/>
        <v>0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20">
        <v>0</v>
      </c>
      <c r="S21" s="2"/>
    </row>
    <row r="22" spans="1:19" ht="25.5">
      <c r="A22" s="2"/>
      <c r="B22" s="17" t="s">
        <v>27</v>
      </c>
      <c r="C22" s="35">
        <f>0</f>
        <v>0</v>
      </c>
      <c r="D22" s="36">
        <f>0</f>
        <v>0</v>
      </c>
      <c r="E22" s="37">
        <f>0/1000</f>
        <v>0</v>
      </c>
      <c r="F22" s="37">
        <f>0/1000</f>
        <v>0</v>
      </c>
      <c r="G22" s="37">
        <f>0/1000</f>
        <v>0</v>
      </c>
      <c r="H22" s="37">
        <f>0/1000</f>
        <v>0</v>
      </c>
      <c r="I22" s="37">
        <f>3400000/1000</f>
        <v>3400</v>
      </c>
      <c r="J22" s="38">
        <f>0/1000</f>
        <v>0</v>
      </c>
      <c r="K22" s="18">
        <v>0</v>
      </c>
      <c r="L22" s="18">
        <v>0</v>
      </c>
      <c r="M22" s="18">
        <v>0</v>
      </c>
      <c r="N22" s="18">
        <v>0</v>
      </c>
      <c r="O22" s="19">
        <v>14</v>
      </c>
      <c r="P22" s="20">
        <v>0</v>
      </c>
      <c r="S22" s="2"/>
    </row>
    <row r="23" spans="1:19" ht="12.75">
      <c r="A23" s="2"/>
      <c r="B23" s="17" t="s">
        <v>22</v>
      </c>
      <c r="C23" s="35">
        <f>1</f>
        <v>1</v>
      </c>
      <c r="D23" s="36">
        <f>1</f>
        <v>1</v>
      </c>
      <c r="E23" s="37">
        <f>137108283.6/1000</f>
        <v>137108.2836</v>
      </c>
      <c r="F23" s="37">
        <f>753707617.03/1000</f>
        <v>753707.61703</v>
      </c>
      <c r="G23" s="37">
        <f>142653175.21/1000</f>
        <v>142653.17521000002</v>
      </c>
      <c r="H23" s="37">
        <f>756155669.05/1000</f>
        <v>756155.6690499999</v>
      </c>
      <c r="I23" s="37">
        <f>126931094.3/1000</f>
        <v>126931.0943</v>
      </c>
      <c r="J23" s="38">
        <f>774266193.33/1000</f>
        <v>774266.19333</v>
      </c>
      <c r="K23" s="18">
        <v>11.1639812754464</v>
      </c>
      <c r="L23" s="18">
        <v>5.8331703144372</v>
      </c>
      <c r="M23" s="18">
        <v>11.2502604579495</v>
      </c>
      <c r="N23" s="18">
        <v>5.98297084970284</v>
      </c>
      <c r="O23" s="19">
        <v>11.6021659966261</v>
      </c>
      <c r="P23" s="20">
        <v>6.44357344646549</v>
      </c>
      <c r="S23" s="2"/>
    </row>
    <row r="24" spans="1:19" ht="12.75">
      <c r="A24" s="2"/>
      <c r="B24" s="17" t="s">
        <v>10</v>
      </c>
      <c r="C24" s="35">
        <f>28</f>
        <v>28</v>
      </c>
      <c r="D24" s="36">
        <f>16</f>
        <v>16</v>
      </c>
      <c r="E24" s="37">
        <f>1107479522.22/1000</f>
        <v>1107479.52222</v>
      </c>
      <c r="F24" s="37">
        <f>1715256478.15/1000</f>
        <v>1715256.47815</v>
      </c>
      <c r="G24" s="37">
        <f>1077592354.74/1000</f>
        <v>1077592.35474</v>
      </c>
      <c r="H24" s="37">
        <f>1849780568.73/1000</f>
        <v>1849780.56873</v>
      </c>
      <c r="I24" s="37">
        <f>1114886004.65/1000</f>
        <v>1114886.00465</v>
      </c>
      <c r="J24" s="38">
        <f>1852519886.62/1000</f>
        <v>1852519.8866199998</v>
      </c>
      <c r="K24" s="18">
        <v>9.17652653867867</v>
      </c>
      <c r="L24" s="18">
        <v>5.60910733963037</v>
      </c>
      <c r="M24" s="18">
        <v>9.30184048851987</v>
      </c>
      <c r="N24" s="18">
        <v>5.62954370510623</v>
      </c>
      <c r="O24" s="19">
        <v>10.4733533806989</v>
      </c>
      <c r="P24" s="20">
        <v>5.7282213645346</v>
      </c>
      <c r="S24" s="2"/>
    </row>
    <row r="25" spans="1:19" ht="12.75">
      <c r="A25" s="2"/>
      <c r="B25" s="17" t="s">
        <v>28</v>
      </c>
      <c r="C25" s="35">
        <f>5+0</f>
        <v>5</v>
      </c>
      <c r="D25" s="36">
        <f>0+0</f>
        <v>0</v>
      </c>
      <c r="E25" s="37">
        <f>(123820061.79+0)/1000</f>
        <v>123820.06179</v>
      </c>
      <c r="F25" s="37">
        <f>(103263828.91+0)/1000</f>
        <v>103263.82891</v>
      </c>
      <c r="G25" s="37">
        <f>(127048761.79+0)/1000</f>
        <v>127048.76179</v>
      </c>
      <c r="H25" s="37">
        <f>(112734983.18+0)/1000</f>
        <v>112734.98318000001</v>
      </c>
      <c r="I25" s="37">
        <f>(153358216.97+0)/1000</f>
        <v>153358.21697</v>
      </c>
      <c r="J25" s="38">
        <f>(127540792.97+0)/1000</f>
        <v>127540.79297</v>
      </c>
      <c r="K25" s="18">
        <v>11.4937980050737</v>
      </c>
      <c r="L25" s="18">
        <v>5.16083961267285</v>
      </c>
      <c r="M25" s="18">
        <v>11.5040895212018</v>
      </c>
      <c r="N25" s="18">
        <v>5.28948200495931</v>
      </c>
      <c r="O25" s="19">
        <v>12.0039384139105</v>
      </c>
      <c r="P25" s="20">
        <v>5.81017672092807</v>
      </c>
      <c r="S25" s="2"/>
    </row>
    <row r="26" spans="1:19" ht="12.75">
      <c r="A26" s="2"/>
      <c r="B26" s="17" t="s">
        <v>31</v>
      </c>
      <c r="C26" s="35">
        <f>20</f>
        <v>20</v>
      </c>
      <c r="D26" s="36">
        <f>0</f>
        <v>0</v>
      </c>
      <c r="E26" s="37">
        <f>568100849.850001/1000</f>
        <v>568100.8498500009</v>
      </c>
      <c r="F26" s="37">
        <f>0/1000</f>
        <v>0</v>
      </c>
      <c r="G26" s="37">
        <f>571968916.03/1000</f>
        <v>571968.91603</v>
      </c>
      <c r="H26" s="37">
        <f>0/1000</f>
        <v>0</v>
      </c>
      <c r="I26" s="37">
        <f>556457175.88/1000</f>
        <v>556457.17588</v>
      </c>
      <c r="J26" s="38">
        <f>0/1000</f>
        <v>0</v>
      </c>
      <c r="K26" s="18">
        <v>11.0379738114305</v>
      </c>
      <c r="L26" s="18">
        <v>0</v>
      </c>
      <c r="M26" s="18">
        <v>11.1081875173102</v>
      </c>
      <c r="N26" s="18">
        <v>0</v>
      </c>
      <c r="O26" s="19">
        <v>11.4479696785365</v>
      </c>
      <c r="P26" s="20">
        <v>0</v>
      </c>
      <c r="S26" s="2"/>
    </row>
    <row r="27" spans="1:19" ht="12.75">
      <c r="A27" s="2"/>
      <c r="B27" s="17" t="s">
        <v>14</v>
      </c>
      <c r="C27" s="35">
        <f>0</f>
        <v>0</v>
      </c>
      <c r="D27" s="36">
        <f>0</f>
        <v>0</v>
      </c>
      <c r="E27" s="37">
        <f>96545188.57/1000</f>
        <v>96545.18857</v>
      </c>
      <c r="F27" s="37">
        <f>1049365.99/1000</f>
        <v>1049.36599</v>
      </c>
      <c r="G27" s="37">
        <f>135295488.9/1000</f>
        <v>135295.4889</v>
      </c>
      <c r="H27" s="37">
        <f>1987314.5/1000</f>
        <v>1987.3145</v>
      </c>
      <c r="I27" s="37">
        <f>123144347.72/1000</f>
        <v>123144.34772</v>
      </c>
      <c r="J27" s="38">
        <f>1044475/1000</f>
        <v>1044.475</v>
      </c>
      <c r="K27" s="18">
        <v>11.0279255499413</v>
      </c>
      <c r="L27" s="18">
        <v>6.74997999744589</v>
      </c>
      <c r="M27" s="18">
        <v>11.0258044889625</v>
      </c>
      <c r="N27" s="18">
        <v>6.27631578947368</v>
      </c>
      <c r="O27" s="19">
        <v>11.0415998696233</v>
      </c>
      <c r="P27" s="20">
        <v>6.75</v>
      </c>
      <c r="S27" s="2"/>
    </row>
    <row r="28" spans="1:19" ht="12.75">
      <c r="A28" s="2"/>
      <c r="B28" s="17" t="s">
        <v>32</v>
      </c>
      <c r="C28" s="35">
        <f>77+0</f>
        <v>77</v>
      </c>
      <c r="D28" s="36">
        <f>0+0</f>
        <v>0</v>
      </c>
      <c r="E28" s="37">
        <f>(205524471.39+0)/1000</f>
        <v>205524.47139</v>
      </c>
      <c r="F28" s="37">
        <f>(9676538.89+0)/1000</f>
        <v>9676.53889</v>
      </c>
      <c r="G28" s="37">
        <f>(189576212.9+0)/1000</f>
        <v>189576.2129</v>
      </c>
      <c r="H28" s="37">
        <f>(10025613.67+0)/1000</f>
        <v>10025.61367</v>
      </c>
      <c r="I28" s="37">
        <f>(170281885.65+0)/1000</f>
        <v>170281.88565</v>
      </c>
      <c r="J28" s="38">
        <f>(10758048.72+0)/1000</f>
        <v>10758.04872</v>
      </c>
      <c r="K28" s="18">
        <v>10.7337338107604</v>
      </c>
      <c r="L28" s="18">
        <v>5.82953096212896</v>
      </c>
      <c r="M28" s="18">
        <v>10.7202904019505</v>
      </c>
      <c r="N28" s="18">
        <v>5.6959738182391</v>
      </c>
      <c r="O28" s="19">
        <v>10.655095168809</v>
      </c>
      <c r="P28" s="20">
        <v>5.54992979377398</v>
      </c>
      <c r="S28" s="2"/>
    </row>
    <row r="29" spans="1:19" ht="25.5">
      <c r="A29" s="2"/>
      <c r="B29" s="17" t="s">
        <v>1</v>
      </c>
      <c r="C29" s="35">
        <f>2</f>
        <v>2</v>
      </c>
      <c r="D29" s="36">
        <f>2</f>
        <v>2</v>
      </c>
      <c r="E29" s="37">
        <f>360674290.68/1000</f>
        <v>360674.29068000003</v>
      </c>
      <c r="F29" s="37">
        <f>311768199/1000</f>
        <v>311768.199</v>
      </c>
      <c r="G29" s="37">
        <f>367008046.91/1000</f>
        <v>367008.04691000003</v>
      </c>
      <c r="H29" s="37">
        <f>312671804.82/1000</f>
        <v>312671.80482</v>
      </c>
      <c r="I29" s="37">
        <f>346813129.35/1000</f>
        <v>346813.12935</v>
      </c>
      <c r="J29" s="38">
        <f>337676886.05/1000</f>
        <v>337676.88605000003</v>
      </c>
      <c r="K29" s="18">
        <v>11.3137679178952</v>
      </c>
      <c r="L29" s="18">
        <v>4.87345056809338</v>
      </c>
      <c r="M29" s="18">
        <v>11.3012694157551</v>
      </c>
      <c r="N29" s="18">
        <v>4.8246994865298</v>
      </c>
      <c r="O29" s="19">
        <v>13.0109919712588</v>
      </c>
      <c r="P29" s="20">
        <v>4.8243861491449</v>
      </c>
      <c r="S29" s="2"/>
    </row>
    <row r="30" spans="1:19" ht="12.75">
      <c r="A30" s="2"/>
      <c r="B30" s="17" t="s">
        <v>8</v>
      </c>
      <c r="C30" s="39">
        <f>1</f>
        <v>1</v>
      </c>
      <c r="D30" s="40">
        <f>0</f>
        <v>0</v>
      </c>
      <c r="E30" s="41">
        <f>55095903.94/1000</f>
        <v>55095.90394</v>
      </c>
      <c r="F30" s="41">
        <f>51449086.53/1000</f>
        <v>51449.08653</v>
      </c>
      <c r="G30" s="41">
        <f>56682845.08/1000</f>
        <v>56682.84508</v>
      </c>
      <c r="H30" s="41">
        <f>53236495.55/1000</f>
        <v>53236.49555</v>
      </c>
      <c r="I30" s="41">
        <f>66750370.97/1000</f>
        <v>66750.37097</v>
      </c>
      <c r="J30" s="42">
        <f>44247112.93/1000</f>
        <v>44247.11293</v>
      </c>
      <c r="K30" s="21">
        <v>11.4931803070078</v>
      </c>
      <c r="L30" s="21">
        <v>5.44591635141127</v>
      </c>
      <c r="M30" s="21">
        <v>12.1641940256239</v>
      </c>
      <c r="N30" s="21">
        <v>5.48723231717494</v>
      </c>
      <c r="O30" s="22">
        <v>12.7841365066499</v>
      </c>
      <c r="P30" s="23">
        <v>6.4302721192752</v>
      </c>
      <c r="S30" s="2"/>
    </row>
    <row r="31" spans="1:19" ht="13.5" thickBot="1">
      <c r="A31" s="2"/>
      <c r="B31" s="24" t="s">
        <v>12</v>
      </c>
      <c r="C31" s="43">
        <f>418+0</f>
        <v>418</v>
      </c>
      <c r="D31" s="44">
        <f>0+0</f>
        <v>0</v>
      </c>
      <c r="E31" s="45">
        <f>(205728694.93+127412598.29)/1000</f>
        <v>333141.29322000005</v>
      </c>
      <c r="F31" s="45">
        <f>(84092774.11+102273970.46)/1000</f>
        <v>186366.74456999998</v>
      </c>
      <c r="G31" s="45">
        <f>(203901125.85+128296680.41)/1000</f>
        <v>332197.80626</v>
      </c>
      <c r="H31" s="45">
        <f>(84345992.94+103096358.74)/1000</f>
        <v>187442.35168000002</v>
      </c>
      <c r="I31" s="45">
        <f>(194258091.37+130237909.08)/1000</f>
        <v>324496.00045</v>
      </c>
      <c r="J31" s="44">
        <f>(94562065.49+66732797.89)/1000</f>
        <v>161294.86338</v>
      </c>
      <c r="K31" s="25">
        <v>12.9250663634603</v>
      </c>
      <c r="L31" s="25">
        <v>2.91054906330277</v>
      </c>
      <c r="M31" s="25">
        <v>12.9407708878514</v>
      </c>
      <c r="N31" s="25">
        <v>2.91298879039437</v>
      </c>
      <c r="O31" s="26">
        <v>13.1669471847184</v>
      </c>
      <c r="P31" s="27">
        <v>2.43710281043731</v>
      </c>
      <c r="S31" s="2"/>
    </row>
    <row r="32" spans="1:19" ht="12.75">
      <c r="A32" s="2"/>
      <c r="B32" s="2"/>
      <c r="K32" s="2"/>
      <c r="S32" s="2"/>
    </row>
    <row r="33" spans="1:19" ht="12.75">
      <c r="A33" s="2"/>
      <c r="B33" s="28"/>
      <c r="K33" s="2"/>
      <c r="S33" s="2"/>
    </row>
    <row r="34" spans="1:19" ht="15" customHeight="1">
      <c r="A34" s="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S34" s="2"/>
    </row>
    <row r="35" spans="1:19" ht="12" customHeight="1">
      <c r="A35" s="2"/>
      <c r="B35" s="28"/>
      <c r="S35" s="2"/>
    </row>
    <row r="36" spans="1:19" ht="12" customHeight="1">
      <c r="A36" s="2"/>
      <c r="B36" s="28"/>
      <c r="S36" s="2"/>
    </row>
    <row r="37" spans="1:19" ht="22.5" customHeight="1">
      <c r="A37" s="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S37" s="2"/>
    </row>
    <row r="38" spans="1:19" ht="12.75">
      <c r="A38" s="2"/>
      <c r="B38" s="28"/>
      <c r="S38" s="2"/>
    </row>
    <row r="39" spans="1:19" ht="12.75">
      <c r="A39" s="2"/>
      <c r="B39" s="2"/>
      <c r="S39" s="2"/>
    </row>
    <row r="40" spans="1:19" ht="12.75">
      <c r="A40" s="2"/>
      <c r="B40" s="2"/>
      <c r="S40" s="2"/>
    </row>
    <row r="41" spans="1:19" ht="12.75">
      <c r="A41" s="2"/>
      <c r="B41" s="2"/>
      <c r="S41" s="2"/>
    </row>
    <row r="42" spans="1:19" ht="12.75">
      <c r="A42" s="2"/>
      <c r="B42" s="2"/>
      <c r="S42" s="2"/>
    </row>
    <row r="43" spans="1:19" ht="27" customHeight="1">
      <c r="A43" s="2"/>
      <c r="B43" s="2"/>
      <c r="S43" s="2"/>
    </row>
    <row r="44" spans="1:19" ht="12.75">
      <c r="A44" s="2"/>
      <c r="B44" s="46"/>
      <c r="S44" s="2"/>
    </row>
  </sheetData>
  <sheetProtection/>
  <mergeCells count="20">
    <mergeCell ref="E8:J8"/>
    <mergeCell ref="K8:P8"/>
    <mergeCell ref="D9:D10"/>
    <mergeCell ref="E9:F9"/>
    <mergeCell ref="B3:L3"/>
    <mergeCell ref="B4:L4"/>
    <mergeCell ref="B6:L6"/>
    <mergeCell ref="M3:P3"/>
    <mergeCell ref="M4:P4"/>
    <mergeCell ref="M5:P5"/>
    <mergeCell ref="K9:L9"/>
    <mergeCell ref="G9:H9"/>
    <mergeCell ref="M9:N9"/>
    <mergeCell ref="I9:J9"/>
    <mergeCell ref="B34:P34"/>
    <mergeCell ref="B37:P37"/>
    <mergeCell ref="B8:B10"/>
    <mergeCell ref="O9:P9"/>
    <mergeCell ref="C9:C10"/>
    <mergeCell ref="C8:D8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2017-05-17T11:26:47Z</cp:lastPrinted>
  <dcterms:modified xsi:type="dcterms:W3CDTF">2017-05-19T11:01:12Z</dcterms:modified>
  <cp:category/>
  <cp:version/>
  <cp:contentType/>
  <cp:contentStatus/>
</cp:coreProperties>
</file>