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s>
  <definedNames/>
  <calcPr fullCalcOnLoad="1" fullPrecision="0"/>
</workbook>
</file>

<file path=xl/sharedStrings.xml><?xml version="1.0" encoding="utf-8"?>
<sst xmlns="http://schemas.openxmlformats.org/spreadsheetml/2006/main" count="55" uniqueCount="31">
  <si>
    <t>la situatia   30.06.2022</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</si>
  <si>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</si>
  <si>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</si>
  <si>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</si>
  <si>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</si>
  <si>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</si>
  <si>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</si>
  <si>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</si>
  <si>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</si>
  <si>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</si>
  <si>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</si>
  <si>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</si>
  <si>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</si>
  <si>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</si>
  <si>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</si>
  <si>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</si>
  <si>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</si>
  <si>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</si>
  <si>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</si>
  <si>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</si>
  <si>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</si>
  <si>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</si>
  <si>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</si>
  <si>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</si>
  <si>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</si>
  <si>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15.07.2022</t>
  </si>
  <si>
    <t>Tipul de depozit</t>
  </si>
  <si>
    <t>*** se calculeaza conform pct. 4 din Instructiunea privind raportarea ratelor dobanzilor aplicate de bancile din R.Moldova.</t>
  </si>
  <si>
    <t>Depozite la vedere cu dobanda:</t>
  </si>
  <si>
    <t>Dumitru Baxan</t>
  </si>
  <si>
    <t>Executorul si numarul telefonului      O. Casapu  022 30-32-80</t>
  </si>
</sst>
</file>

<file path=xl/styles.xml><?xml version="1.0" encoding="utf-8"?>
<styleSheet xmlns="http://schemas.openxmlformats.org/spreadsheetml/2006/main">
  <numFmts count="4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 numFmtId="199" formatCode="0E+00"/>
  </numFmts>
  <fonts count="44">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style="thin"/>
      <right style="thin"/>
      <top style="thin"/>
      <bottom style="thin"/>
    </border>
    <border>
      <left style="medium"/>
      <right style="thin"/>
      <top style="thin"/>
      <bottom style="thin"/>
    </border>
    <border>
      <left style="thin"/>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6">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184" fontId="4" fillId="0" borderId="28" xfId="0" applyNumberFormat="1" applyFont="1" applyBorder="1" applyAlignment="1">
      <alignment/>
    </xf>
    <xf numFmtId="0" fontId="4" fillId="0" borderId="29" xfId="0" applyFont="1" applyBorder="1" applyAlignment="1">
      <alignment/>
    </xf>
    <xf numFmtId="0" fontId="4" fillId="0" borderId="30" xfId="0" applyFont="1" applyBorder="1" applyAlignment="1">
      <alignment/>
    </xf>
    <xf numFmtId="184" fontId="4" fillId="0" borderId="31" xfId="0" applyNumberFormat="1" applyFont="1" applyBorder="1" applyAlignment="1">
      <alignment/>
    </xf>
    <xf numFmtId="0" fontId="4" fillId="0" borderId="32" xfId="0" applyNumberFormat="1" applyFont="1" applyFill="1" applyBorder="1" applyAlignment="1" applyProtection="1">
      <alignment/>
      <protection/>
    </xf>
    <xf numFmtId="184" fontId="4" fillId="0" borderId="33" xfId="0" applyNumberFormat="1" applyFont="1" applyFill="1" applyBorder="1" applyAlignment="1" applyProtection="1">
      <alignment/>
      <protection/>
    </xf>
    <xf numFmtId="184" fontId="4" fillId="0" borderId="32"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4" fillId="0" borderId="15" xfId="0" applyFont="1" applyFill="1" applyBorder="1" applyAlignment="1">
      <alignment/>
    </xf>
    <xf numFmtId="0" fontId="4" fillId="0" borderId="16" xfId="0" applyFont="1" applyFill="1" applyBorder="1" applyAlignment="1">
      <alignment/>
    </xf>
    <xf numFmtId="1" fontId="4" fillId="0" borderId="28" xfId="0" applyNumberFormat="1" applyFont="1" applyFill="1" applyBorder="1" applyAlignment="1" applyProtection="1">
      <alignment/>
      <protection/>
    </xf>
    <xf numFmtId="1" fontId="4" fillId="0" borderId="34" xfId="0" applyNumberFormat="1" applyFont="1" applyFill="1" applyBorder="1" applyAlignment="1" applyProtection="1">
      <alignment/>
      <protection/>
    </xf>
    <xf numFmtId="1" fontId="4" fillId="0" borderId="35" xfId="0" applyNumberFormat="1" applyFont="1" applyFill="1" applyBorder="1" applyAlignment="1" applyProtection="1">
      <alignment/>
      <protection/>
    </xf>
    <xf numFmtId="1" fontId="4" fillId="0" borderId="36" xfId="0" applyNumberFormat="1" applyFont="1" applyFill="1" applyBorder="1" applyAlignment="1" applyProtection="1">
      <alignment/>
      <protection/>
    </xf>
    <xf numFmtId="0" fontId="5" fillId="0" borderId="27" xfId="0" applyNumberFormat="1" applyFont="1" applyFill="1" applyBorder="1" applyAlignment="1" applyProtection="1">
      <alignment/>
      <protection/>
    </xf>
    <xf numFmtId="1" fontId="4" fillId="0" borderId="17" xfId="0" applyNumberFormat="1" applyFont="1" applyFill="1" applyBorder="1" applyAlignment="1" applyProtection="1">
      <alignment/>
      <protection/>
    </xf>
    <xf numFmtId="0" fontId="5" fillId="0" borderId="37" xfId="0" applyNumberFormat="1" applyFont="1" applyFill="1" applyBorder="1" applyAlignment="1" applyProtection="1">
      <alignment/>
      <protection/>
    </xf>
    <xf numFmtId="1" fontId="4" fillId="0" borderId="25"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 fontId="4" fillId="0" borderId="31" xfId="0" applyNumberFormat="1" applyFont="1" applyFill="1" applyBorder="1" applyAlignment="1" applyProtection="1">
      <alignment/>
      <protection/>
    </xf>
    <xf numFmtId="1" fontId="4" fillId="0" borderId="38" xfId="0" applyNumberFormat="1" applyFont="1" applyFill="1" applyBorder="1" applyAlignment="1" applyProtection="1">
      <alignment/>
      <protection/>
    </xf>
    <xf numFmtId="1" fontId="4" fillId="0" borderId="39" xfId="0" applyNumberFormat="1" applyFont="1" applyFill="1" applyBorder="1" applyAlignment="1" applyProtection="1">
      <alignment/>
      <protection/>
    </xf>
    <xf numFmtId="184" fontId="4" fillId="0" borderId="39"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40" xfId="0" applyNumberFormat="1" applyFont="1" applyFill="1" applyBorder="1" applyAlignment="1" applyProtection="1">
      <alignment/>
      <protection/>
    </xf>
    <xf numFmtId="1" fontId="4" fillId="0" borderId="27" xfId="0" applyNumberFormat="1" applyFont="1" applyFill="1" applyBorder="1" applyAlignment="1" applyProtection="1">
      <alignment/>
      <protection/>
    </xf>
    <xf numFmtId="1" fontId="4" fillId="0" borderId="3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41" xfId="0" applyNumberFormat="1" applyFont="1" applyFill="1" applyBorder="1" applyAlignment="1" applyProtection="1">
      <alignment/>
      <protection/>
    </xf>
    <xf numFmtId="1" fontId="4" fillId="0" borderId="30"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84" fontId="4" fillId="0" borderId="42" xfId="0" applyNumberFormat="1" applyFont="1" applyBorder="1" applyAlignment="1">
      <alignment/>
    </xf>
    <xf numFmtId="184" fontId="4" fillId="0" borderId="43" xfId="0" applyNumberFormat="1" applyFont="1" applyBorder="1" applyAlignment="1">
      <alignment/>
    </xf>
    <xf numFmtId="1" fontId="4" fillId="0" borderId="42" xfId="0" applyNumberFormat="1" applyFont="1" applyFill="1" applyBorder="1" applyAlignment="1" applyProtection="1">
      <alignment/>
      <protection/>
    </xf>
    <xf numFmtId="1" fontId="4" fillId="0" borderId="36" xfId="0" applyNumberFormat="1" applyFont="1" applyFill="1" applyBorder="1" applyAlignment="1" applyProtection="1">
      <alignment wrapText="1"/>
      <protection/>
    </xf>
    <xf numFmtId="1" fontId="4" fillId="0" borderId="44" xfId="0" applyNumberFormat="1" applyFont="1" applyFill="1" applyBorder="1" applyAlignment="1" applyProtection="1">
      <alignment/>
      <protection/>
    </xf>
    <xf numFmtId="1" fontId="4" fillId="0" borderId="15"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2" fontId="4" fillId="0" borderId="17" xfId="0" applyNumberFormat="1" applyFont="1" applyFill="1" applyBorder="1" applyAlignment="1" applyProtection="1">
      <alignment/>
      <protection/>
    </xf>
    <xf numFmtId="2" fontId="4" fillId="0" borderId="37" xfId="0" applyNumberFormat="1" applyFont="1" applyFill="1" applyBorder="1" applyAlignment="1" applyProtection="1">
      <alignment/>
      <protection/>
    </xf>
    <xf numFmtId="2" fontId="4" fillId="0" borderId="45" xfId="0" applyNumberFormat="1" applyFont="1" applyFill="1" applyBorder="1" applyAlignment="1" applyProtection="1">
      <alignment/>
      <protection/>
    </xf>
    <xf numFmtId="2" fontId="4" fillId="0" borderId="46"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47" xfId="0" applyNumberFormat="1" applyFont="1" applyFill="1" applyBorder="1" applyAlignment="1" applyProtection="1">
      <alignment/>
      <protection/>
    </xf>
    <xf numFmtId="0" fontId="4" fillId="0" borderId="0" xfId="0" applyNumberFormat="1" applyFont="1" applyBorder="1" applyAlignment="1">
      <alignment/>
    </xf>
    <xf numFmtId="0" fontId="5" fillId="0" borderId="25"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A8" sqref="A8:M31"/>
    </sheetView>
  </sheetViews>
  <sheetFormatPr defaultColWidth="9.140625" defaultRowHeight="12.75"/>
  <cols>
    <col min="1" max="1" width="32.140625" style="1" customWidth="1"/>
    <col min="2" max="3" width="12.8515625" style="1" customWidth="1"/>
    <col min="4" max="5" width="14.140625" style="1" customWidth="1"/>
    <col min="6" max="6" width="16.140625" style="1" customWidth="1"/>
    <col min="7" max="7" width="13.00390625" style="1" customWidth="1"/>
    <col min="8" max="16384" width="9.140625" style="1" customWidth="1"/>
  </cols>
  <sheetData>
    <row r="1" spans="1:13" ht="12" customHeight="1">
      <c r="A1" s="2"/>
      <c r="B1" s="2"/>
      <c r="C1" s="2"/>
      <c r="F1" s="2"/>
      <c r="G1" s="2"/>
      <c r="H1" s="2"/>
      <c r="J1" s="2"/>
      <c r="K1" s="71"/>
      <c r="L1" s="2"/>
      <c r="M1" s="2"/>
    </row>
    <row r="2" spans="1:13" ht="12.75">
      <c r="A2" s="2"/>
      <c r="B2" s="2"/>
      <c r="C2" s="2"/>
      <c r="F2" s="2"/>
      <c r="G2" s="2"/>
      <c r="H2" s="2"/>
      <c r="J2" s="2"/>
      <c r="K2" s="2"/>
      <c r="L2" s="2"/>
      <c r="M2" s="2"/>
    </row>
    <row r="3" spans="1:13" ht="12.75">
      <c r="A3" s="78" t="s">
        <v>4</v>
      </c>
      <c r="B3" s="78"/>
      <c r="C3" s="78"/>
      <c r="D3" s="78"/>
      <c r="E3" s="78"/>
      <c r="F3" s="78"/>
      <c r="G3" s="78"/>
      <c r="H3" s="78"/>
      <c r="I3" s="78"/>
      <c r="J3" s="78"/>
      <c r="K3" s="78"/>
      <c r="L3" s="78"/>
      <c r="M3" s="78"/>
    </row>
    <row r="4" spans="1:13" ht="12.75">
      <c r="A4" s="78" t="s">
        <v>10</v>
      </c>
      <c r="B4" s="78"/>
      <c r="C4" s="78"/>
      <c r="D4" s="78"/>
      <c r="E4" s="78"/>
      <c r="F4" s="78"/>
      <c r="G4" s="78"/>
      <c r="H4" s="78"/>
      <c r="I4" s="78"/>
      <c r="J4" s="78"/>
      <c r="K4" s="78"/>
      <c r="L4" s="78"/>
      <c r="M4" s="78"/>
    </row>
    <row r="5" ht="12.75">
      <c r="A5" s="2"/>
    </row>
    <row r="6" spans="1:13" ht="12.75">
      <c r="A6" s="78" t="s">
        <v>0</v>
      </c>
      <c r="B6" s="78"/>
      <c r="C6" s="78"/>
      <c r="D6" s="78"/>
      <c r="E6" s="78"/>
      <c r="F6" s="78"/>
      <c r="G6" s="78"/>
      <c r="H6" s="78"/>
      <c r="I6" s="78"/>
      <c r="J6" s="78"/>
      <c r="K6" s="78"/>
      <c r="L6" s="78"/>
      <c r="M6" s="78"/>
    </row>
    <row r="7" ht="12.75">
      <c r="A7" s="2"/>
    </row>
    <row r="8" spans="1:13" ht="42.75" customHeight="1">
      <c r="A8" s="79" t="s">
        <v>26</v>
      </c>
      <c r="B8" s="73" t="s">
        <v>18</v>
      </c>
      <c r="C8" s="73"/>
      <c r="D8" s="73"/>
      <c r="E8" s="73"/>
      <c r="F8" s="73"/>
      <c r="G8" s="74"/>
      <c r="H8" s="73" t="s">
        <v>19</v>
      </c>
      <c r="I8" s="73"/>
      <c r="J8" s="73"/>
      <c r="K8" s="73"/>
      <c r="L8" s="73"/>
      <c r="M8" s="73"/>
    </row>
    <row r="9" spans="1:13" ht="12.75">
      <c r="A9" s="79"/>
      <c r="B9" s="81" t="s">
        <v>2</v>
      </c>
      <c r="C9" s="82"/>
      <c r="D9" s="72" t="s">
        <v>13</v>
      </c>
      <c r="E9" s="72"/>
      <c r="F9" s="83" t="s">
        <v>24</v>
      </c>
      <c r="G9" s="84"/>
      <c r="H9" s="85" t="s">
        <v>2</v>
      </c>
      <c r="I9" s="85"/>
      <c r="J9" s="77" t="s">
        <v>13</v>
      </c>
      <c r="K9" s="77"/>
      <c r="L9" s="75" t="s">
        <v>24</v>
      </c>
      <c r="M9" s="76"/>
    </row>
    <row r="10" spans="1:13" ht="38.25">
      <c r="A10" s="80"/>
      <c r="B10" s="3" t="s">
        <v>1</v>
      </c>
      <c r="C10" s="4" t="s">
        <v>6</v>
      </c>
      <c r="D10" s="5" t="s">
        <v>1</v>
      </c>
      <c r="E10" s="6" t="s">
        <v>6</v>
      </c>
      <c r="F10" s="5" t="s">
        <v>1</v>
      </c>
      <c r="G10" s="7" t="s">
        <v>6</v>
      </c>
      <c r="H10" s="8" t="s">
        <v>1</v>
      </c>
      <c r="I10" s="9" t="s">
        <v>9</v>
      </c>
      <c r="J10" s="10" t="s">
        <v>1</v>
      </c>
      <c r="K10" s="10" t="s">
        <v>9</v>
      </c>
      <c r="L10" s="11" t="s">
        <v>1</v>
      </c>
      <c r="M10" s="12" t="s">
        <v>9</v>
      </c>
    </row>
    <row r="11" spans="1:13" ht="12.75">
      <c r="A11" s="13" t="s">
        <v>21</v>
      </c>
      <c r="B11" s="14">
        <v>1</v>
      </c>
      <c r="C11" s="14">
        <v>2</v>
      </c>
      <c r="D11" s="14">
        <v>3</v>
      </c>
      <c r="E11" s="14">
        <v>4</v>
      </c>
      <c r="F11" s="14">
        <v>5</v>
      </c>
      <c r="G11" s="14">
        <v>6</v>
      </c>
      <c r="H11" s="15">
        <v>7</v>
      </c>
      <c r="I11" s="15">
        <v>8</v>
      </c>
      <c r="J11" s="15">
        <v>9</v>
      </c>
      <c r="K11" s="15">
        <v>10</v>
      </c>
      <c r="L11" s="15">
        <v>11</v>
      </c>
      <c r="M11" s="16">
        <v>12</v>
      </c>
    </row>
    <row r="12" spans="1:13" ht="12.75">
      <c r="A12" s="17" t="s">
        <v>11</v>
      </c>
      <c r="B12" s="32"/>
      <c r="C12" s="33"/>
      <c r="D12" s="18"/>
      <c r="E12" s="19"/>
      <c r="F12" s="19"/>
      <c r="G12" s="19"/>
      <c r="H12" s="19"/>
      <c r="I12" s="19"/>
      <c r="J12" s="19"/>
      <c r="K12" s="19"/>
      <c r="L12" s="20"/>
      <c r="M12" s="21"/>
    </row>
    <row r="13" spans="1:13" ht="12.75">
      <c r="A13" s="22" t="s">
        <v>14</v>
      </c>
      <c r="B13" s="61">
        <f>(2383296778.54+226414.36)/1000</f>
        <v>2383523</v>
      </c>
      <c r="C13" s="34">
        <f>(3635169039.53+0)/1000</f>
        <v>3635169</v>
      </c>
      <c r="D13" s="61">
        <f>(2203421647.6+334346.96)/1000</f>
        <v>2203756</v>
      </c>
      <c r="E13" s="34">
        <f>(3565282674.66+0)/1000</f>
        <v>3565283</v>
      </c>
      <c r="F13" s="61">
        <f>(2676054557.72+209517.27)/1000</f>
        <v>2676264</v>
      </c>
      <c r="G13" s="60">
        <f>(3389685734.08+0)/1000</f>
        <v>3389686</v>
      </c>
      <c r="H13" s="47">
        <v>0</v>
      </c>
      <c r="I13" s="47">
        <v>0</v>
      </c>
      <c r="J13" s="47">
        <v>0</v>
      </c>
      <c r="K13" s="50">
        <v>0</v>
      </c>
      <c r="L13" s="47">
        <v>0</v>
      </c>
      <c r="M13" s="51">
        <v>0</v>
      </c>
    </row>
    <row r="14" spans="1:13" ht="12.75">
      <c r="A14" s="22" t="s">
        <v>8</v>
      </c>
      <c r="B14" s="35">
        <f>(4008721208.25+0)/1000</f>
        <v>4008721</v>
      </c>
      <c r="C14" s="36">
        <f>(3783570319.77+0)/1000</f>
        <v>3783570</v>
      </c>
      <c r="D14" s="35">
        <f>(4209760975.12+0)/1000</f>
        <v>4209761</v>
      </c>
      <c r="E14" s="36">
        <f>(3619836839.1+0)/1000</f>
        <v>3619837</v>
      </c>
      <c r="F14" s="35">
        <f>(4465029004.38+0)/1000</f>
        <v>4465029</v>
      </c>
      <c r="G14" s="52">
        <f>(3246248295.82+0)/1000</f>
        <v>3246248</v>
      </c>
      <c r="H14" s="47">
        <v>0</v>
      </c>
      <c r="I14" s="47">
        <v>0</v>
      </c>
      <c r="J14" s="47">
        <v>0</v>
      </c>
      <c r="K14" s="50">
        <v>0</v>
      </c>
      <c r="L14" s="47">
        <v>0</v>
      </c>
      <c r="M14" s="51">
        <v>0</v>
      </c>
    </row>
    <row r="15" spans="1:13" ht="12.75">
      <c r="A15" s="22" t="s">
        <v>3</v>
      </c>
      <c r="B15" s="37">
        <f>802739.31/1000</f>
        <v>803</v>
      </c>
      <c r="C15" s="34">
        <f>14369227.87/1000</f>
        <v>14369</v>
      </c>
      <c r="D15" s="37">
        <f>594801.71/1000</f>
        <v>595</v>
      </c>
      <c r="E15" s="34">
        <f>8110918.02/1000</f>
        <v>8111</v>
      </c>
      <c r="F15" s="37">
        <f>1191643.63/1000</f>
        <v>1192</v>
      </c>
      <c r="G15" s="60">
        <f>17266593.68/1000</f>
        <v>17267</v>
      </c>
      <c r="H15" s="47">
        <v>0</v>
      </c>
      <c r="I15" s="47">
        <v>0</v>
      </c>
      <c r="J15" s="47">
        <v>0</v>
      </c>
      <c r="K15" s="50">
        <v>0</v>
      </c>
      <c r="L15" s="47">
        <v>0</v>
      </c>
      <c r="M15" s="51">
        <v>0</v>
      </c>
    </row>
    <row r="16" spans="1:13" ht="12.75">
      <c r="A16" s="38" t="s">
        <v>28</v>
      </c>
      <c r="B16" s="35"/>
      <c r="C16" s="39"/>
      <c r="D16" s="35"/>
      <c r="E16" s="39"/>
      <c r="F16" s="35"/>
      <c r="G16" s="53"/>
      <c r="H16" s="48"/>
      <c r="I16" s="48"/>
      <c r="J16" s="48"/>
      <c r="K16" s="54"/>
      <c r="L16" s="48"/>
      <c r="M16" s="55"/>
    </row>
    <row r="17" spans="1:13" ht="12.75">
      <c r="A17" s="22" t="s">
        <v>14</v>
      </c>
      <c r="B17" s="37">
        <f>(1203127185.94+0)/1000</f>
        <v>1203127</v>
      </c>
      <c r="C17" s="37">
        <f>(30146343.57+0)/1000</f>
        <v>30146</v>
      </c>
      <c r="D17" s="37">
        <f>(1176458685.8+0)/1000</f>
        <v>1176459</v>
      </c>
      <c r="E17" s="37">
        <f>(30645741.83+0)/1000</f>
        <v>30646</v>
      </c>
      <c r="F17" s="37">
        <f>(1230409535.15+0)/1000</f>
        <v>1230410</v>
      </c>
      <c r="G17" s="62">
        <f>(38143645.3+0)/1000</f>
        <v>38144</v>
      </c>
      <c r="H17" s="47">
        <v>1.26</v>
      </c>
      <c r="I17" s="47">
        <v>2</v>
      </c>
      <c r="J17" s="47">
        <v>1.23</v>
      </c>
      <c r="K17" s="50">
        <v>2</v>
      </c>
      <c r="L17" s="47">
        <v>1.26</v>
      </c>
      <c r="M17" s="51">
        <v>2</v>
      </c>
    </row>
    <row r="18" spans="1:13" ht="12.75">
      <c r="A18" s="22" t="s">
        <v>8</v>
      </c>
      <c r="B18" s="35">
        <f>(510727278.69+0)/1000</f>
        <v>510727</v>
      </c>
      <c r="C18" s="63">
        <f>(405470758.96+0)/1000</f>
        <v>405471</v>
      </c>
      <c r="D18" s="35">
        <f>(532391916.93+0)/1000</f>
        <v>532392</v>
      </c>
      <c r="E18" s="63">
        <f>(379679866.5+0)/1000</f>
        <v>379680</v>
      </c>
      <c r="F18" s="35">
        <f>(160732085.71+0)/1000</f>
        <v>160732</v>
      </c>
      <c r="G18" s="64">
        <f>(359318669.37+0)/1000</f>
        <v>359319</v>
      </c>
      <c r="H18" s="47">
        <v>4.15</v>
      </c>
      <c r="I18" s="47">
        <v>0.08</v>
      </c>
      <c r="J18" s="47">
        <v>3.61</v>
      </c>
      <c r="K18" s="47">
        <v>0.066</v>
      </c>
      <c r="L18" s="49">
        <v>1.82</v>
      </c>
      <c r="M18" s="47">
        <v>0.0685</v>
      </c>
    </row>
    <row r="19" spans="1:13" ht="12.75">
      <c r="A19" s="22" t="s">
        <v>3</v>
      </c>
      <c r="B19" s="37">
        <f aca="true" t="shared" si="0" ref="B19:G19">0/1000</f>
        <v>0</v>
      </c>
      <c r="C19" s="34">
        <f t="shared" si="0"/>
        <v>0</v>
      </c>
      <c r="D19" s="37">
        <f t="shared" si="0"/>
        <v>0</v>
      </c>
      <c r="E19" s="34">
        <f t="shared" si="0"/>
        <v>0</v>
      </c>
      <c r="F19" s="37">
        <f t="shared" si="0"/>
        <v>0</v>
      </c>
      <c r="G19" s="60">
        <f t="shared" si="0"/>
        <v>0</v>
      </c>
      <c r="H19" s="47">
        <v>0</v>
      </c>
      <c r="I19" s="47">
        <v>0</v>
      </c>
      <c r="J19" s="47">
        <v>0</v>
      </c>
      <c r="K19" s="50">
        <v>0</v>
      </c>
      <c r="L19" s="47">
        <v>0</v>
      </c>
      <c r="M19" s="51">
        <v>0</v>
      </c>
    </row>
    <row r="20" spans="1:13" ht="12.75">
      <c r="A20" s="38" t="s">
        <v>12</v>
      </c>
      <c r="B20" s="35"/>
      <c r="C20" s="36"/>
      <c r="D20" s="35"/>
      <c r="E20" s="36"/>
      <c r="F20" s="35"/>
      <c r="G20" s="52"/>
      <c r="H20" s="48"/>
      <c r="I20" s="48"/>
      <c r="J20" s="48"/>
      <c r="K20" s="54"/>
      <c r="L20" s="48"/>
      <c r="M20" s="55"/>
    </row>
    <row r="21" spans="1:13" ht="12.75">
      <c r="A21" s="22" t="s">
        <v>14</v>
      </c>
      <c r="B21" s="37">
        <f>(199545.54+146754.27+0)/1000</f>
        <v>346</v>
      </c>
      <c r="C21" s="34">
        <f>(127367552.39+75568010.7399999)/1000</f>
        <v>202936</v>
      </c>
      <c r="D21" s="37">
        <f>(306786.76+149775.97)/1000</f>
        <v>457</v>
      </c>
      <c r="E21" s="34">
        <f>(139096048.09+79972972.89)/1000</f>
        <v>219069</v>
      </c>
      <c r="F21" s="37">
        <f>(3608676.35+254366.83)/1000</f>
        <v>3863</v>
      </c>
      <c r="G21" s="60">
        <f>(179061011.42+104901195.83)/1000</f>
        <v>283962</v>
      </c>
      <c r="H21" s="47">
        <v>0</v>
      </c>
      <c r="I21" s="47">
        <v>0</v>
      </c>
      <c r="J21" s="47">
        <v>0</v>
      </c>
      <c r="K21" s="50">
        <v>0</v>
      </c>
      <c r="L21" s="47">
        <v>0</v>
      </c>
      <c r="M21" s="51">
        <v>0</v>
      </c>
    </row>
    <row r="22" spans="1:13" ht="12.75">
      <c r="A22" s="22" t="s">
        <v>8</v>
      </c>
      <c r="B22" s="35">
        <f>28848194.56/1000</f>
        <v>28848</v>
      </c>
      <c r="C22" s="39">
        <f>92932757.75/1000</f>
        <v>92933</v>
      </c>
      <c r="D22" s="35">
        <f>27370983.24/1000</f>
        <v>27371</v>
      </c>
      <c r="E22" s="39">
        <f>96325872.61/1000</f>
        <v>96326</v>
      </c>
      <c r="F22" s="35">
        <f>28708401.85/1000</f>
        <v>28708</v>
      </c>
      <c r="G22" s="53">
        <f>79231754.48/1000</f>
        <v>79232</v>
      </c>
      <c r="H22" s="47">
        <v>0</v>
      </c>
      <c r="I22" s="47">
        <v>0</v>
      </c>
      <c r="J22" s="47">
        <v>0</v>
      </c>
      <c r="K22" s="50">
        <v>0</v>
      </c>
      <c r="L22" s="47">
        <v>0</v>
      </c>
      <c r="M22" s="51">
        <v>0</v>
      </c>
    </row>
    <row r="23" spans="1:13" ht="12.75">
      <c r="A23" s="22" t="s">
        <v>3</v>
      </c>
      <c r="B23" s="62">
        <f aca="true" t="shared" si="1" ref="B23:G23">0/1000</f>
        <v>0</v>
      </c>
      <c r="C23" s="36">
        <f t="shared" si="1"/>
        <v>0</v>
      </c>
      <c r="D23" s="62">
        <f t="shared" si="1"/>
        <v>0</v>
      </c>
      <c r="E23" s="36">
        <f t="shared" si="1"/>
        <v>0</v>
      </c>
      <c r="F23" s="62">
        <f t="shared" si="1"/>
        <v>0</v>
      </c>
      <c r="G23" s="52">
        <f t="shared" si="1"/>
        <v>0</v>
      </c>
      <c r="H23" s="47">
        <v>0</v>
      </c>
      <c r="I23" s="47">
        <v>0</v>
      </c>
      <c r="J23" s="47">
        <v>0</v>
      </c>
      <c r="K23" s="50">
        <v>0</v>
      </c>
      <c r="L23" s="47">
        <v>0</v>
      </c>
      <c r="M23" s="51">
        <v>0</v>
      </c>
    </row>
    <row r="24" spans="1:13" ht="12.75">
      <c r="A24" s="40" t="s">
        <v>16</v>
      </c>
      <c r="B24" s="35"/>
      <c r="C24" s="41"/>
      <c r="D24" s="35"/>
      <c r="E24" s="41"/>
      <c r="F24" s="35"/>
      <c r="G24" s="56"/>
      <c r="H24" s="48"/>
      <c r="I24" s="48"/>
      <c r="J24" s="48"/>
      <c r="K24" s="54"/>
      <c r="L24" s="48"/>
      <c r="M24" s="55"/>
    </row>
    <row r="25" spans="1:13" ht="12.75">
      <c r="A25" s="22" t="s">
        <v>14</v>
      </c>
      <c r="B25" s="37">
        <f>(5990186911.34+67582701.85)/1000</f>
        <v>6057770</v>
      </c>
      <c r="C25" s="34">
        <f>(4117103432.50999+203254176.52)/1000</f>
        <v>4320358</v>
      </c>
      <c r="D25" s="37">
        <f>(5760351513.63001+69401394.17)/1000</f>
        <v>5829753</v>
      </c>
      <c r="E25" s="34">
        <f>(4237167735.33+212376469.219999)/1000</f>
        <v>4449544</v>
      </c>
      <c r="F25" s="37">
        <f>(6234099454.15+90489278.9300002)/1000</f>
        <v>6324589</v>
      </c>
      <c r="G25" s="60">
        <f>(4848348941.05999+256563295.349999)/1000</f>
        <v>5104912</v>
      </c>
      <c r="H25" s="47">
        <v>6</v>
      </c>
      <c r="I25" s="47">
        <v>0.39</v>
      </c>
      <c r="J25" s="47">
        <v>5.03</v>
      </c>
      <c r="K25" s="50">
        <v>0.38</v>
      </c>
      <c r="L25" s="47">
        <v>3.59</v>
      </c>
      <c r="M25" s="51">
        <v>0.38</v>
      </c>
    </row>
    <row r="26" spans="1:13" ht="12.75">
      <c r="A26" s="42" t="s">
        <v>8</v>
      </c>
      <c r="B26" s="35">
        <f>1042906076.09/1000</f>
        <v>1042906</v>
      </c>
      <c r="C26" s="39">
        <f>306406713.94/1000</f>
        <v>306407</v>
      </c>
      <c r="D26" s="35">
        <f>952282586.05/1000</f>
        <v>952283</v>
      </c>
      <c r="E26" s="39">
        <f>424515590.87/1000</f>
        <v>424516</v>
      </c>
      <c r="F26" s="35">
        <f>919404201.72/1000</f>
        <v>919404</v>
      </c>
      <c r="G26" s="53">
        <f>288974814.26/1000</f>
        <v>288975</v>
      </c>
      <c r="H26" s="47">
        <v>5.32</v>
      </c>
      <c r="I26" s="47">
        <v>0.96</v>
      </c>
      <c r="J26" s="47">
        <v>5.02</v>
      </c>
      <c r="K26" s="50">
        <v>0.87</v>
      </c>
      <c r="L26" s="47">
        <v>3.11</v>
      </c>
      <c r="M26" s="51">
        <v>0.98</v>
      </c>
    </row>
    <row r="27" spans="1:13" ht="12.75">
      <c r="A27" s="22" t="s">
        <v>3</v>
      </c>
      <c r="B27" s="37">
        <f aca="true" t="shared" si="2" ref="B27:G27">0/1000</f>
        <v>0</v>
      </c>
      <c r="C27" s="34">
        <f t="shared" si="2"/>
        <v>0</v>
      </c>
      <c r="D27" s="37">
        <f t="shared" si="2"/>
        <v>0</v>
      </c>
      <c r="E27" s="34">
        <f t="shared" si="2"/>
        <v>0</v>
      </c>
      <c r="F27" s="37">
        <f t="shared" si="2"/>
        <v>0</v>
      </c>
      <c r="G27" s="60">
        <f t="shared" si="2"/>
        <v>0</v>
      </c>
      <c r="H27" s="47">
        <v>0</v>
      </c>
      <c r="I27" s="47">
        <v>0</v>
      </c>
      <c r="J27" s="47">
        <v>0</v>
      </c>
      <c r="K27" s="50">
        <v>0</v>
      </c>
      <c r="L27" s="47">
        <v>0</v>
      </c>
      <c r="M27" s="51">
        <v>0</v>
      </c>
    </row>
    <row r="28" spans="1:13" ht="12.75">
      <c r="A28" s="38" t="s">
        <v>22</v>
      </c>
      <c r="B28" s="35"/>
      <c r="C28" s="41"/>
      <c r="D28" s="24"/>
      <c r="E28" s="18"/>
      <c r="F28" s="18"/>
      <c r="G28" s="25"/>
      <c r="H28" s="49"/>
      <c r="I28" s="49"/>
      <c r="J28" s="49"/>
      <c r="K28" s="57"/>
      <c r="L28" s="49"/>
      <c r="M28" s="55"/>
    </row>
    <row r="29" spans="1:13" ht="12.75">
      <c r="A29" s="22" t="s">
        <v>14</v>
      </c>
      <c r="B29" s="37">
        <f aca="true" t="shared" si="3" ref="B29:G31">B13+B17+B21+B25</f>
        <v>9644766</v>
      </c>
      <c r="C29" s="34">
        <f t="shared" si="3"/>
        <v>8188609</v>
      </c>
      <c r="D29" s="23">
        <f t="shared" si="3"/>
        <v>9210425</v>
      </c>
      <c r="E29" s="23">
        <f t="shared" si="3"/>
        <v>8264542</v>
      </c>
      <c r="F29" s="23">
        <f t="shared" si="3"/>
        <v>10235126</v>
      </c>
      <c r="G29" s="58">
        <f t="shared" si="3"/>
        <v>8816704</v>
      </c>
      <c r="H29" s="47">
        <f aca="true" t="shared" si="4" ref="H29:M31">IF(B29=0,0,(B13*H13+B17*H17+B21*H21+B25*H25)/B29)</f>
        <v>3.93</v>
      </c>
      <c r="I29" s="47">
        <f t="shared" si="4"/>
        <v>0.21</v>
      </c>
      <c r="J29" s="47">
        <f t="shared" si="4"/>
        <v>3.34</v>
      </c>
      <c r="K29" s="50">
        <f t="shared" si="4"/>
        <v>0.21</v>
      </c>
      <c r="L29" s="47">
        <f t="shared" si="4"/>
        <v>2.37</v>
      </c>
      <c r="M29" s="51">
        <f t="shared" si="4"/>
        <v>0.23</v>
      </c>
    </row>
    <row r="30" spans="1:13" ht="12.75">
      <c r="A30" s="22" t="s">
        <v>8</v>
      </c>
      <c r="B30" s="35">
        <f t="shared" si="3"/>
        <v>5591202</v>
      </c>
      <c r="C30" s="43">
        <f t="shared" si="3"/>
        <v>4588381</v>
      </c>
      <c r="D30" s="26">
        <f t="shared" si="3"/>
        <v>5721807</v>
      </c>
      <c r="E30" s="26">
        <f t="shared" si="3"/>
        <v>4520359</v>
      </c>
      <c r="F30" s="26">
        <f t="shared" si="3"/>
        <v>5573873</v>
      </c>
      <c r="G30" s="59">
        <f t="shared" si="3"/>
        <v>3973774</v>
      </c>
      <c r="H30" s="65">
        <f t="shared" si="4"/>
        <v>1.37</v>
      </c>
      <c r="I30" s="65">
        <f t="shared" si="4"/>
        <v>0.07</v>
      </c>
      <c r="J30" s="65">
        <f t="shared" si="4"/>
        <v>1.17</v>
      </c>
      <c r="K30" s="66">
        <f t="shared" si="4"/>
        <v>0.09</v>
      </c>
      <c r="L30" s="65">
        <f t="shared" si="4"/>
        <v>0.57</v>
      </c>
      <c r="M30" s="67">
        <f t="shared" si="4"/>
        <v>0.08</v>
      </c>
    </row>
    <row r="31" spans="1:13" ht="12.75">
      <c r="A31" s="27" t="s">
        <v>3</v>
      </c>
      <c r="B31" s="44">
        <f t="shared" si="3"/>
        <v>803</v>
      </c>
      <c r="C31" s="45">
        <f t="shared" si="3"/>
        <v>14369</v>
      </c>
      <c r="D31" s="46">
        <f t="shared" si="3"/>
        <v>595</v>
      </c>
      <c r="E31" s="28">
        <f t="shared" si="3"/>
        <v>8111</v>
      </c>
      <c r="F31" s="29">
        <f t="shared" si="3"/>
        <v>1192</v>
      </c>
      <c r="G31" s="29">
        <f t="shared" si="3"/>
        <v>17267</v>
      </c>
      <c r="H31" s="68">
        <f t="shared" si="4"/>
        <v>0</v>
      </c>
      <c r="I31" s="68">
        <f t="shared" si="4"/>
        <v>0</v>
      </c>
      <c r="J31" s="68">
        <f t="shared" si="4"/>
        <v>0</v>
      </c>
      <c r="K31" s="69">
        <f t="shared" si="4"/>
        <v>0</v>
      </c>
      <c r="L31" s="68">
        <f t="shared" si="4"/>
        <v>0</v>
      </c>
      <c r="M31" s="70">
        <f t="shared" si="4"/>
        <v>0</v>
      </c>
    </row>
    <row r="32" spans="1:3" ht="12.75">
      <c r="A32" s="2"/>
      <c r="C32" s="30"/>
    </row>
    <row r="33" ht="12.75">
      <c r="A33" s="31" t="s">
        <v>7</v>
      </c>
    </row>
    <row r="34" ht="12.75">
      <c r="A34" s="31" t="s">
        <v>17</v>
      </c>
    </row>
    <row r="35" ht="12.75">
      <c r="A35" s="31" t="s">
        <v>23</v>
      </c>
    </row>
    <row r="36" ht="12.75">
      <c r="A36" s="31" t="s">
        <v>27</v>
      </c>
    </row>
    <row r="37" ht="12.75">
      <c r="A37" s="2"/>
    </row>
    <row r="38" ht="12.75">
      <c r="A38" s="2" t="s">
        <v>5</v>
      </c>
    </row>
    <row r="39" spans="1:5" ht="12.75">
      <c r="A39" s="2" t="s">
        <v>20</v>
      </c>
      <c r="E39" s="1" t="s">
        <v>29</v>
      </c>
    </row>
    <row r="40" ht="12.75">
      <c r="A40" s="2"/>
    </row>
    <row r="41" ht="12.75">
      <c r="A41" s="2" t="s">
        <v>30</v>
      </c>
    </row>
    <row r="42" spans="1:2" ht="12.75">
      <c r="A42" s="2" t="s">
        <v>15</v>
      </c>
      <c r="B42" s="1" t="s">
        <v>25</v>
      </c>
    </row>
    <row r="43" ht="12.75">
      <c r="A43" s="2"/>
    </row>
    <row r="44" spans="1:9" ht="12.75">
      <c r="A44" s="2"/>
      <c r="C44" s="1">
        <f>(199545.54+146754.27)/1000</f>
        <v>346.29981</v>
      </c>
      <c r="I44" s="1">
        <v>0</v>
      </c>
    </row>
  </sheetData>
  <sheetProtection/>
  <mergeCells count="12">
    <mergeCell ref="F9:G9"/>
    <mergeCell ref="H9:I9"/>
    <mergeCell ref="D9:E9"/>
    <mergeCell ref="B8:G8"/>
    <mergeCell ref="L9:M9"/>
    <mergeCell ref="H8:M8"/>
    <mergeCell ref="J9:K9"/>
    <mergeCell ref="A3:M3"/>
    <mergeCell ref="A4:M4"/>
    <mergeCell ref="A6:M6"/>
    <mergeCell ref="A8:A10"/>
    <mergeCell ref="B9:C9"/>
  </mergeCells>
  <printOptions/>
  <pageMargins left="0.35433070866141736" right="0.15748031496062992" top="0.3937007874015748" bottom="0.1968503937007874" header="0.5118110236220472" footer="0.5118110236220472"/>
  <pageSetup horizontalDpi="600" verticalDpi="600" orientation="landscape" paperSize="9" scale="80"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BJDTCD270722090757BJGMNPC01022891</dc:description>
  <cp:lastModifiedBy>MAIB</cp:lastModifiedBy>
  <cp:lastPrinted>2022-07-27T05:57:38Z</cp:lastPrinted>
  <dcterms:modified xsi:type="dcterms:W3CDTF">2022-07-27T08:32:28Z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26e1658c-2150-401a-b481-ff3960e71ecb</vt:lpwstr>
  </property>
  <property fmtid="{D5CDD505-2E9C-101B-9397-08002B2CF9AE}" pid="3"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4" name="bjDocumentLabelXML-0">
    <vt:lpwstr>ames.com/2008/01/sie/internal/label"&gt;&lt;element uid="id_classification_confidential" value="" /&gt;&lt;/sisl&gt;</vt:lpwstr>
  </property>
  <property fmtid="{D5CDD505-2E9C-101B-9397-08002B2CF9AE}" pid="5" name="bjDocumentSecurityLabel">
    <vt:lpwstr>maib | de uz intern</vt:lpwstr>
  </property>
  <property fmtid="{D5CDD505-2E9C-101B-9397-08002B2CF9AE}" pid="6" name="bjClsUserRVM">
    <vt:lpwstr>[]</vt:lpwstr>
  </property>
  <property fmtid="{D5CDD505-2E9C-101B-9397-08002B2CF9AE}" pid="7" name="bjSaver">
    <vt:lpwstr>NJVzTnmZHiPVLPqnDV3pwT25oovQ9fNo</vt:lpwstr>
  </property>
  <property fmtid="{D5CDD505-2E9C-101B-9397-08002B2CF9AE}" pid="8" name="bjLabelHistoryID">
    <vt:lpwstr>{580796E9-871F-468A-A790-56603A03E235}</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